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 updateLinks="never" codeName="ThisWorkbook" defaultThemeVersion="124226"/>
  <xr:revisionPtr revIDLastSave="0" documentId="13_ncr:1_{09DBFEDF-381B-4758-8652-CB3B758CD37F}" xr6:coauthVersionLast="46" xr6:coauthVersionMax="46" xr10:uidLastSave="{00000000-0000-0000-0000-000000000000}"/>
  <bookViews>
    <workbookView xWindow="25080" yWindow="-105" windowWidth="25440" windowHeight="15390" xr2:uid="{00000000-000D-0000-FFFF-FFFF00000000}"/>
  </bookViews>
  <sheets>
    <sheet name="Hypothèses" sheetId="1" r:id="rId1"/>
    <sheet name="Tresorerie autoconsomat" sheetId="3" r:id="rId2"/>
    <sheet name="Calcul intérêts " sheetId="2" r:id="rId3"/>
    <sheet name="Actualisation" sheetId="7" r:id="rId4"/>
  </sheets>
  <definedNames>
    <definedName name="assurances">Hypothèses!$C$20</definedName>
    <definedName name="autoconso">Hypothèses!$C$7</definedName>
    <definedName name="autofinacement">Hypothèses!$C$17</definedName>
    <definedName name="coutderevientkwh">Hypothèses!$F$22</definedName>
    <definedName name="coutderevientkwhautoconsomme30ans">'Tresorerie autoconsomat'!#REF!</definedName>
    <definedName name="coutderevientkwhreseau30ans">'Tresorerie autoconsomat'!$L$25</definedName>
    <definedName name="coutganratieonduleur">Hypothèses!$F$7</definedName>
    <definedName name="coutinstallation">Hypothèses!$F$5</definedName>
    <definedName name="coutkwc">Hypothèses!$C$15</definedName>
    <definedName name="coutraccordement">Hypothèses!$F$8</definedName>
    <definedName name="couttotal">Hypothèses!$F$15</definedName>
    <definedName name="couttotalkwhautoconsomme">'Tresorerie autoconsomat'!$O$25</definedName>
    <definedName name="dureepret">Hypothèses!$C$19</definedName>
    <definedName name="economieCSPE">'Tresorerie autoconsomat'!$M$25</definedName>
    <definedName name="economieTCFE">Hypothèses!$B$34:$B$35</definedName>
    <definedName name="fluxdetresorerie">Hypothèses!$F$23</definedName>
    <definedName name="garantieonduleur">Hypothèses!$C$16</definedName>
    <definedName name="inflation">Hypothèses!$C$24</definedName>
    <definedName name="inflationelec">Hypothèses!$C$10</definedName>
    <definedName name="interet">Hypothèses!$C$18</definedName>
    <definedName name="kwhreseau">Hypothèses!$C$9</definedName>
    <definedName name="locationcompteur">Hypothèses!$G$16</definedName>
    <definedName name="maintenance">Hypothèses!$C$21</definedName>
    <definedName name="mensualité">'Calcul intérêts '!$C$5</definedName>
    <definedName name="montantassurance">Hypothèses!$F$11</definedName>
    <definedName name="montantassurance30ans">Hypothèses!$F$11</definedName>
    <definedName name="montantinteret">Hypothèses!$F$12</definedName>
    <definedName name="montantmaintenance">Hypothèses!$F$13</definedName>
    <definedName name="montantsubventiongenerateur">Hypothèses!$F$9</definedName>
    <definedName name="OverTime">35</definedName>
    <definedName name="production">Hypothèses!$C$6</definedName>
    <definedName name="productionautoconsomme">Hypothèses!$F$17</definedName>
    <definedName name="productionvalorisable">Hypothèses!$F$16</definedName>
    <definedName name="productionvendue">Hypothèses!$F$18</definedName>
    <definedName name="Puissance">Hypothèses!$C$5</definedName>
    <definedName name="recetteventesurplus">Hypothèses!$F$19</definedName>
    <definedName name="stockage">Hypothèses!$C$8</definedName>
    <definedName name="tarifachat">Hypothèses!$C$13</definedName>
    <definedName name="Taux">'Calcul intérêts '!$C$3</definedName>
    <definedName name="totalammortissement">'Tresorerie autoconsomat'!#REF!</definedName>
    <definedName name="totalannualités">'Tresorerie autoconsomat'!$J$25</definedName>
    <definedName name="totalassurance">'Tresorerie autoconsomat'!$H$25</definedName>
    <definedName name="totalfluxdetresorerie">'Tresorerie autoconsomat'!$S$25</definedName>
    <definedName name="totalfrais">'Tresorerie autoconsomat'!$K$25</definedName>
    <definedName name="totalinvestissementavecsub">Hypothèses!$F$10</definedName>
    <definedName name="totalmaintenance">'Tresorerie autoconsomat'!$I$25</definedName>
    <definedName name="totalproduction">'Tresorerie autoconsomat'!$E$25</definedName>
    <definedName name="totalproductionautoconsomme">'Tresorerie autoconsomat'!$F$25</definedName>
    <definedName name="totalproductionvendue">'Tresorerie autoconsomat'!$G$25</definedName>
    <definedName name="totalventesurplus">'Tresorerie autoconsomat'!$R$25</definedName>
    <definedName name="tt">1.196*6.55957</definedName>
    <definedName name="unité">1</definedName>
    <definedName name="vente">Hypothèses!$C$12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3" i="1"/>
  <c r="F11" i="1"/>
  <c r="F10" i="1"/>
  <c r="C21" i="1"/>
  <c r="I5" i="3" s="1"/>
  <c r="I3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5" i="3"/>
  <c r="R5" i="3"/>
  <c r="Q5" i="3"/>
  <c r="P5" i="3"/>
  <c r="P6" i="3" s="1"/>
  <c r="P7" i="3" s="1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O5" i="3"/>
  <c r="N5" i="3"/>
  <c r="M5" i="3"/>
  <c r="F9" i="1"/>
  <c r="F7" i="1"/>
  <c r="Q6" i="3"/>
  <c r="Q7" i="3" s="1"/>
  <c r="Q8" i="3" s="1"/>
  <c r="Q9" i="3" s="1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C15" i="1"/>
  <c r="F5" i="1" s="1"/>
  <c r="L3" i="3" l="1"/>
  <c r="L5" i="3" s="1"/>
  <c r="B3" i="7" l="1"/>
  <c r="B5" i="7" l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4" i="7"/>
  <c r="Q25" i="3" l="1"/>
  <c r="S4" i="3"/>
  <c r="C3" i="2"/>
  <c r="C4" i="2"/>
  <c r="P3" i="3"/>
  <c r="H3" i="3"/>
  <c r="F3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C6" i="3" l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5" i="3"/>
  <c r="E5" i="3" s="1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L6" i="3" l="1"/>
  <c r="I25" i="3"/>
  <c r="E6" i="3"/>
  <c r="F5" i="3"/>
  <c r="L7" i="3" l="1"/>
  <c r="E7" i="3"/>
  <c r="F6" i="3"/>
  <c r="M6" i="3" l="1"/>
  <c r="N6" i="3"/>
  <c r="L8" i="3"/>
  <c r="R6" i="3"/>
  <c r="F7" i="3"/>
  <c r="E8" i="3"/>
  <c r="L9" i="3" l="1"/>
  <c r="O6" i="3"/>
  <c r="M7" i="3"/>
  <c r="N7" i="3"/>
  <c r="R7" i="3"/>
  <c r="L10" i="3"/>
  <c r="F8" i="3"/>
  <c r="E9" i="3"/>
  <c r="O7" i="3" l="1"/>
  <c r="R8" i="3"/>
  <c r="M8" i="3"/>
  <c r="N8" i="3"/>
  <c r="L11" i="3"/>
  <c r="E10" i="3"/>
  <c r="F9" i="3"/>
  <c r="O8" i="3" l="1"/>
  <c r="M9" i="3"/>
  <c r="N9" i="3"/>
  <c r="R9" i="3"/>
  <c r="L12" i="3"/>
  <c r="E11" i="3"/>
  <c r="F10" i="3"/>
  <c r="O9" i="3" l="1"/>
  <c r="M10" i="3"/>
  <c r="N10" i="3"/>
  <c r="L13" i="3"/>
  <c r="R10" i="3"/>
  <c r="F11" i="3"/>
  <c r="E12" i="3"/>
  <c r="O10" i="3" l="1"/>
  <c r="M11" i="3"/>
  <c r="N11" i="3"/>
  <c r="L14" i="3"/>
  <c r="R11" i="3"/>
  <c r="F12" i="3"/>
  <c r="E13" i="3"/>
  <c r="O11" i="3" l="1"/>
  <c r="M12" i="3"/>
  <c r="N12" i="3"/>
  <c r="L15" i="3"/>
  <c r="F13" i="3"/>
  <c r="E14" i="3"/>
  <c r="R12" i="3"/>
  <c r="O12" i="3" l="1"/>
  <c r="M13" i="3"/>
  <c r="N13" i="3"/>
  <c r="L16" i="3"/>
  <c r="R13" i="3"/>
  <c r="F14" i="3"/>
  <c r="E15" i="3"/>
  <c r="O13" i="3" l="1"/>
  <c r="M14" i="3"/>
  <c r="N14" i="3"/>
  <c r="L17" i="3"/>
  <c r="R14" i="3"/>
  <c r="F15" i="3"/>
  <c r="E16" i="3"/>
  <c r="O14" i="3" l="1"/>
  <c r="M15" i="3"/>
  <c r="N15" i="3"/>
  <c r="L18" i="3"/>
  <c r="R15" i="3"/>
  <c r="F16" i="3"/>
  <c r="E17" i="3"/>
  <c r="O15" i="3" l="1"/>
  <c r="M16" i="3"/>
  <c r="N16" i="3"/>
  <c r="L19" i="3"/>
  <c r="R16" i="3"/>
  <c r="E18" i="3"/>
  <c r="F17" i="3"/>
  <c r="O16" i="3" l="1"/>
  <c r="M17" i="3"/>
  <c r="N17" i="3"/>
  <c r="L20" i="3"/>
  <c r="E19" i="3"/>
  <c r="F18" i="3"/>
  <c r="R17" i="3"/>
  <c r="O17" i="3" l="1"/>
  <c r="M18" i="3"/>
  <c r="N18" i="3"/>
  <c r="L21" i="3"/>
  <c r="R18" i="3"/>
  <c r="F19" i="3"/>
  <c r="E20" i="3"/>
  <c r="P25" i="3"/>
  <c r="O18" i="3" l="1"/>
  <c r="M19" i="3"/>
  <c r="N19" i="3"/>
  <c r="L22" i="3"/>
  <c r="R19" i="3"/>
  <c r="F20" i="3"/>
  <c r="E21" i="3"/>
  <c r="O19" i="3" l="1"/>
  <c r="M20" i="3"/>
  <c r="N20" i="3"/>
  <c r="L23" i="3"/>
  <c r="R20" i="3"/>
  <c r="F21" i="3"/>
  <c r="E22" i="3"/>
  <c r="O20" i="3" l="1"/>
  <c r="M21" i="3"/>
  <c r="N21" i="3"/>
  <c r="R21" i="3"/>
  <c r="L24" i="3"/>
  <c r="F22" i="3"/>
  <c r="E23" i="3"/>
  <c r="O21" i="3" l="1"/>
  <c r="M22" i="3"/>
  <c r="N22" i="3"/>
  <c r="R22" i="3"/>
  <c r="F23" i="3"/>
  <c r="E24" i="3"/>
  <c r="O22" i="3" l="1"/>
  <c r="M23" i="3"/>
  <c r="N23" i="3"/>
  <c r="R23" i="3"/>
  <c r="F24" i="3"/>
  <c r="O23" i="3" l="1"/>
  <c r="R24" i="3"/>
  <c r="M24" i="3"/>
  <c r="N24" i="3"/>
  <c r="O24" i="3" s="1"/>
  <c r="R25" i="3" l="1"/>
  <c r="F19" i="1" l="1"/>
  <c r="R3" i="3"/>
  <c r="L25" i="3" l="1"/>
  <c r="E25" i="3" l="1"/>
  <c r="F16" i="1" s="1"/>
  <c r="M25" i="3" l="1"/>
  <c r="N25" i="3"/>
  <c r="F21" i="1" s="1"/>
  <c r="G25" i="3"/>
  <c r="F18" i="1" s="1"/>
  <c r="F25" i="3"/>
  <c r="F17" i="1" s="1"/>
  <c r="F20" i="1" l="1"/>
  <c r="H5" i="3"/>
  <c r="H6" i="3" l="1"/>
  <c r="C2" i="2"/>
  <c r="C5" i="2" l="1"/>
  <c r="C12" i="2" s="1"/>
  <c r="J5" i="3" s="1"/>
  <c r="K5" i="3" s="1"/>
  <c r="S5" i="3" s="1"/>
  <c r="C7" i="2"/>
  <c r="H7" i="3"/>
  <c r="H8" i="3" l="1"/>
  <c r="C8" i="2"/>
  <c r="C10" i="2" s="1"/>
  <c r="J15" i="3" l="1"/>
  <c r="J9" i="3"/>
  <c r="J13" i="3"/>
  <c r="J12" i="3"/>
  <c r="J17" i="3"/>
  <c r="J6" i="3"/>
  <c r="K6" i="3" s="1"/>
  <c r="S6" i="3" s="1"/>
  <c r="J19" i="3"/>
  <c r="J16" i="3"/>
  <c r="J7" i="3"/>
  <c r="K7" i="3" s="1"/>
  <c r="J10" i="3"/>
  <c r="J14" i="3"/>
  <c r="J18" i="3"/>
  <c r="J8" i="3"/>
  <c r="K8" i="3" s="1"/>
  <c r="J11" i="3"/>
  <c r="F12" i="1"/>
  <c r="C11" i="2"/>
  <c r="H9" i="3"/>
  <c r="S7" i="3" l="1"/>
  <c r="S8" i="3" s="1"/>
  <c r="K9" i="3"/>
  <c r="H10" i="3"/>
  <c r="J25" i="3"/>
  <c r="J3" i="3" s="1"/>
  <c r="S9" i="3" l="1"/>
  <c r="H11" i="3"/>
  <c r="K10" i="3"/>
  <c r="S10" i="3" l="1"/>
  <c r="H12" i="3"/>
  <c r="K11" i="3"/>
  <c r="S11" i="3" l="1"/>
  <c r="K12" i="3"/>
  <c r="H13" i="3"/>
  <c r="S12" i="3" l="1"/>
  <c r="K13" i="3"/>
  <c r="H14" i="3"/>
  <c r="S13" i="3" l="1"/>
  <c r="H15" i="3"/>
  <c r="K14" i="3"/>
  <c r="S14" i="3" l="1"/>
  <c r="H16" i="3"/>
  <c r="K15" i="3"/>
  <c r="S15" i="3" l="1"/>
  <c r="K16" i="3"/>
  <c r="H17" i="3"/>
  <c r="S16" i="3" l="1"/>
  <c r="K17" i="3"/>
  <c r="H18" i="3"/>
  <c r="S17" i="3" l="1"/>
  <c r="K18" i="3"/>
  <c r="H19" i="3"/>
  <c r="S18" i="3" l="1"/>
  <c r="H20" i="3"/>
  <c r="K19" i="3"/>
  <c r="S19" i="3" l="1"/>
  <c r="K20" i="3"/>
  <c r="H21" i="3"/>
  <c r="S20" i="3" l="1"/>
  <c r="K21" i="3"/>
  <c r="H22" i="3"/>
  <c r="S21" i="3" l="1"/>
  <c r="H23" i="3"/>
  <c r="K22" i="3"/>
  <c r="S22" i="3" l="1"/>
  <c r="H24" i="3"/>
  <c r="K23" i="3"/>
  <c r="S23" i="3" l="1"/>
  <c r="K24" i="3"/>
  <c r="S24" i="3" l="1"/>
  <c r="S25" i="3" s="1"/>
  <c r="H25" i="3" l="1"/>
  <c r="F22" i="1" l="1"/>
  <c r="K25" i="3"/>
  <c r="O25" i="3" l="1"/>
  <c r="F23" i="1" l="1"/>
</calcChain>
</file>

<file path=xl/sharedStrings.xml><?xml version="1.0" encoding="utf-8"?>
<sst xmlns="http://schemas.openxmlformats.org/spreadsheetml/2006/main" count="85" uniqueCount="81">
  <si>
    <t>Montant du prêt</t>
  </si>
  <si>
    <t>Taux</t>
  </si>
  <si>
    <t>Nb Mensualité</t>
  </si>
  <si>
    <t>Mensualité</t>
  </si>
  <si>
    <t>Assurance %</t>
  </si>
  <si>
    <t>Assurance Fixe</t>
  </si>
  <si>
    <t>Mensualité+Assurances</t>
  </si>
  <si>
    <t>Frais de dossiers</t>
  </si>
  <si>
    <t>Cout total du crédit</t>
  </si>
  <si>
    <t>Nbre années</t>
  </si>
  <si>
    <t>Production an kWh</t>
  </si>
  <si>
    <t>Mino                   ration</t>
  </si>
  <si>
    <t>Total Inv + Frais</t>
  </si>
  <si>
    <t>Production autoconsommé</t>
  </si>
  <si>
    <t>Raccordement</t>
  </si>
  <si>
    <t>Total investissement avec subvention</t>
  </si>
  <si>
    <t>Autofinancement</t>
  </si>
  <si>
    <t>Production vendue au réseau en kWh sur 20 ans</t>
  </si>
  <si>
    <t>Montant remboursé</t>
  </si>
  <si>
    <t>Extension garantie onduleur</t>
  </si>
  <si>
    <t>Taux d'intérêt</t>
  </si>
  <si>
    <t>Vente du surplus</t>
  </si>
  <si>
    <t>Taux d'autoconsommation</t>
  </si>
  <si>
    <t>Durée de remboursement</t>
  </si>
  <si>
    <t xml:space="preserve">Assurances </t>
  </si>
  <si>
    <t xml:space="preserve">Maintenance </t>
  </si>
  <si>
    <t>Assurance</t>
  </si>
  <si>
    <t>Cout HT du kWh acheté réseau</t>
  </si>
  <si>
    <t>Flux de tresorerie HT cumulé</t>
  </si>
  <si>
    <t>Maintenance
€ par kWc</t>
  </si>
  <si>
    <t>kWh</t>
  </si>
  <si>
    <t>kWc</t>
  </si>
  <si>
    <t>€/an/kWc</t>
  </si>
  <si>
    <t>% Inv/an</t>
  </si>
  <si>
    <t>Puissance installée</t>
  </si>
  <si>
    <t>Capacité de stockage</t>
  </si>
  <si>
    <t>Inflation annuelle</t>
  </si>
  <si>
    <t>Remboursement
annuel
&amp; global</t>
  </si>
  <si>
    <t>Total</t>
  </si>
  <si>
    <t>années</t>
  </si>
  <si>
    <t>Production en kWh / kWc</t>
  </si>
  <si>
    <t>Investissement initial</t>
  </si>
  <si>
    <t>annualites</t>
  </si>
  <si>
    <t>Taux d'actualisation de l'argent</t>
  </si>
  <si>
    <t>22,50 €/MWh</t>
  </si>
  <si>
    <t>Economie réalisée sur la TICFE ( Ex CSPE)</t>
  </si>
  <si>
    <t>Economie réalisée sur la TCFE (communale et départementale)</t>
  </si>
  <si>
    <t>xx  €/MWh</t>
  </si>
  <si>
    <t>Vente totale</t>
  </si>
  <si>
    <t>production 
 vendue en surplus au réseau</t>
  </si>
  <si>
    <t>Production totale</t>
  </si>
  <si>
    <t>oui</t>
  </si>
  <si>
    <t>non</t>
  </si>
  <si>
    <t>% de l'inves</t>
  </si>
  <si>
    <t>Maintenance annuelle</t>
  </si>
  <si>
    <t>Prix de vente totale du khw au réseau</t>
  </si>
  <si>
    <t>Prix de vente surplus du kWh au réseau</t>
  </si>
  <si>
    <t>Tarif de vente totale de l'électricité produite</t>
  </si>
  <si>
    <t>Recette de vente</t>
  </si>
  <si>
    <t>Dépenses évitées sur la facture</t>
  </si>
  <si>
    <t>Tarif de vente surplus d'électricité produite</t>
  </si>
  <si>
    <t>Flux de trésorerie sur 20 ans</t>
  </si>
  <si>
    <t>Production valorisable en kWh</t>
  </si>
  <si>
    <t>Recette vente du kWh sur 20 ans</t>
  </si>
  <si>
    <t xml:space="preserve">Montant des intérêts </t>
  </si>
  <si>
    <t>Assurance annuelle</t>
  </si>
  <si>
    <t>Coût du kWh à l'année N0</t>
  </si>
  <si>
    <t>Inflation du coût de l'électricité / an</t>
  </si>
  <si>
    <t>Coût du kWc en €</t>
  </si>
  <si>
    <t>Coût de l'installation</t>
  </si>
  <si>
    <t>Coût total sur 20 ans</t>
  </si>
  <si>
    <t xml:space="preserve">Production autoconsommée en kWh </t>
  </si>
  <si>
    <t>Coût de revient du kWh autoconsommé HT lissé sur 20 ans</t>
  </si>
  <si>
    <t>TURPE* lié au photovoltaïque</t>
  </si>
  <si>
    <t>Économies réalisées sur la TICFE* (ex CSPE) sur 20 ans</t>
  </si>
  <si>
    <t>Économies réalisées sur la TCFE* sur 20 ans</t>
  </si>
  <si>
    <t>*TURPE: Taxe d'Utilisation du Réseau Public d'Électricité</t>
  </si>
  <si>
    <t>*TICFE: Taxe Interieure sur la Consommation Finale d'Électricité</t>
  </si>
  <si>
    <t>*TCFE: Taxe sur la Consommation Finale d'Électricité</t>
  </si>
  <si>
    <t>Montant de la subvention générateur</t>
  </si>
  <si>
    <t xml:space="preserve">Calcul de rentabilité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</si>
</sst>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164" formatCode="_-* #,##0.00\ _€_-;\-* #,##0.00\ _€_-;_-* &quot;-&quot;??\ _€_-;_-@_-"/>
    <numFmt numFmtId="165" formatCode="#,##0.00\ &quot;€&quot;"/>
    <numFmt numFmtId="166" formatCode="0.0000%"/>
    <numFmt numFmtId="167" formatCode="mm\-yy"/>
    <numFmt numFmtId="168" formatCode="#,##0.00000"/>
    <numFmt numFmtId="169" formatCode="#,##0.00000\ &quot;€&quot;"/>
    <numFmt numFmtId="170" formatCode="#,##0\ &quot;€&quot;"/>
    <numFmt numFmtId="171" formatCode="#,##0.0000\ &quot;€&quot;"/>
    <numFmt numFmtId="172" formatCode="0.0000"/>
    <numFmt numFmtId="173" formatCode="0.0%"/>
    <numFmt numFmtId="174" formatCode="#,##0&quot;  &quot;"/>
    <numFmt numFmtId="175" formatCode="#,##0.0"/>
    <numFmt numFmtId="176" formatCode="_-* #,##0\ _F_-;\-* #,##0\ _F_-;_-* &quot;-&quot;\ _F_-;_-@_-"/>
    <numFmt numFmtId="177" formatCode="_-* #,##0.00\ [$€-1]_-;\-* #,##0.00\ [$€-1]_-;_-* &quot;-&quot;??\ [$€-1]_-"/>
    <numFmt numFmtId="178" formatCode="d\-mmm\-yy"/>
    <numFmt numFmtId="179" formatCode="&quot;$&quot;#,##0_);[Red]\(&quot;$&quot;#,##0\)"/>
    <numFmt numFmtId="180" formatCode="#,##0\ &quot;DM&quot;;[Red]\-#,##0\ &quot;DM&quot;"/>
    <numFmt numFmtId="181" formatCode="#,##0.00\ &quot;DM&quot;;[Red]\-#,##0.00\ &quot;DM&quot;"/>
    <numFmt numFmtId="182" formatCode="\ @"/>
    <numFmt numFmtId="183" formatCode="\ @*."/>
    <numFmt numFmtId="184" formatCode=";;"/>
    <numFmt numFmtId="185" formatCode="#,##0;\-#,##0;"/>
    <numFmt numFmtId="186" formatCode="#,##0&quot;  marge mensuelle&quot;"/>
    <numFmt numFmtId="187" formatCode="#,##0;;"/>
    <numFmt numFmtId="188" formatCode="&quot;Tél. &quot;00\.00\.00\.00"/>
    <numFmt numFmtId="189" formatCode="dddd\ d\ mmmm\ yyyy"/>
    <numFmt numFmtId="190" formatCode="#,##0,&quot;   KF&quot;"/>
    <numFmt numFmtId="191" formatCode="&quot;Mulhouse, le  &quot;\ dd\ mmmm\ yyyy"/>
    <numFmt numFmtId="192" formatCode="dd\ /\ mm\ /\ yy"/>
    <numFmt numFmtId="193" formatCode="&quot;  &quot;@*."/>
    <numFmt numFmtId="194" formatCode="#,##0;[Red]\-#,##0;;"/>
    <numFmt numFmtId="195" formatCode="#?/\ ?"/>
    <numFmt numFmtId="196" formatCode="#,##0.00\ _F;[Red]\-#,##0.00\ _F;;"/>
    <numFmt numFmtId="197" formatCode="\ \ @"/>
    <numFmt numFmtId="198" formatCode="&quot;édité le :  &quot;dd/mm/yy&quot;  par Jo S&quot;"/>
    <numFmt numFmtId="199" formatCode="#,##0.00&quot; ttc&quot;"/>
    <numFmt numFmtId="200" formatCode="#,##0.00&quot; ht&quot;"/>
    <numFmt numFmtId="201" formatCode="&quot; Jo SCHNEIDER &quot;"/>
    <numFmt numFmtId="202" formatCode="@*."/>
    <numFmt numFmtId="203" formatCode="#,##0.00;\-#,##0.00;\-"/>
    <numFmt numFmtId="204" formatCode="#,##0.00;\-#,##0.00;&quot;&quot;"/>
    <numFmt numFmtId="205" formatCode="_-* #,##0\ [$€-40C]_-;\-* #,##0\ [$€-40C]_-;_-* &quot;-&quot;??\ [$€-40C]_-;_-@_-"/>
  </numFmts>
  <fonts count="57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Arial"/>
      <family val="2"/>
    </font>
    <font>
      <sz val="10"/>
      <name val="Geneva"/>
    </font>
    <font>
      <b/>
      <sz val="8"/>
      <name val="Arial"/>
      <family val="2"/>
    </font>
    <font>
      <b/>
      <sz val="9"/>
      <name val="Times New Roman"/>
      <family val="1"/>
    </font>
    <font>
      <b/>
      <sz val="11"/>
      <color indexed="12"/>
      <name val="Arial"/>
      <family val="2"/>
    </font>
    <font>
      <b/>
      <sz val="10"/>
      <name val="Bookman"/>
    </font>
    <font>
      <b/>
      <sz val="9"/>
      <name val="Times New Roman"/>
      <family val="1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color indexed="8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8"/>
      <color indexed="12"/>
      <name val="Times New Roman"/>
      <family val="1"/>
    </font>
    <font>
      <b/>
      <sz val="12"/>
      <name val="Arial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name val="Courier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3"/>
      <color indexed="12"/>
      <name val="Times New Roman"/>
      <family val="1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mediumGray">
        <fgColor indexed="9"/>
        <bgColor indexed="22"/>
      </patternFill>
    </fill>
    <fill>
      <patternFill patternType="lightGray">
        <fgColor indexed="9"/>
        <bgColor indexed="13"/>
      </patternFill>
    </fill>
    <fill>
      <patternFill patternType="mediumGray">
        <fgColor indexed="12"/>
        <bgColor indexed="13"/>
      </patternFill>
    </fill>
    <fill>
      <patternFill patternType="lightGray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3">
    <xf numFmtId="0" fontId="0" fillId="0" borderId="0"/>
    <xf numFmtId="183" fontId="12" fillId="0" borderId="1">
      <alignment horizontal="left" vertical="center"/>
    </xf>
    <xf numFmtId="10" fontId="13" fillId="0" borderId="0">
      <alignment vertical="center"/>
    </xf>
    <xf numFmtId="4" fontId="13" fillId="0" borderId="0">
      <alignment horizontal="center" vertical="center"/>
    </xf>
    <xf numFmtId="182" fontId="13" fillId="0" borderId="0">
      <alignment vertical="center"/>
    </xf>
    <xf numFmtId="183" fontId="12" fillId="0" borderId="0">
      <alignment horizontal="left" vertical="center"/>
    </xf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5" fillId="2" borderId="0" applyNumberFormat="0" applyBorder="0" applyAlignment="0" applyProtection="0"/>
    <xf numFmtId="3" fontId="16" fillId="0" borderId="0">
      <alignment vertical="center"/>
      <protection locked="0"/>
    </xf>
    <xf numFmtId="193" fontId="16" fillId="13" borderId="0">
      <alignment vertical="center"/>
      <protection locked="0"/>
    </xf>
    <xf numFmtId="3" fontId="17" fillId="14" borderId="2">
      <alignment vertical="center" wrapText="1"/>
    </xf>
    <xf numFmtId="184" fontId="18" fillId="0" borderId="0">
      <alignment horizontal="right" vertical="center"/>
    </xf>
    <xf numFmtId="193" fontId="16" fillId="0" borderId="3">
      <alignment vertical="center"/>
      <protection locked="0"/>
    </xf>
    <xf numFmtId="3" fontId="16" fillId="0" borderId="4">
      <alignment vertical="center"/>
      <protection locked="0"/>
    </xf>
    <xf numFmtId="0" fontId="19" fillId="6" borderId="5" applyNumberFormat="0" applyAlignment="0" applyProtection="0"/>
    <xf numFmtId="204" fontId="9" fillId="15" borderId="6" applyFont="0" applyFill="0" applyBorder="0" applyAlignment="0" applyProtection="0">
      <alignment wrapText="1"/>
    </xf>
    <xf numFmtId="203" fontId="9" fillId="15" borderId="6" applyFont="0" applyFill="0" applyBorder="0" applyAlignment="0" applyProtection="0">
      <alignment wrapText="1"/>
    </xf>
    <xf numFmtId="0" fontId="20" fillId="12" borderId="8" applyNumberFormat="0" applyAlignment="0" applyProtection="0"/>
    <xf numFmtId="174" fontId="13" fillId="0" borderId="0">
      <alignment horizontal="right" vertical="center"/>
    </xf>
    <xf numFmtId="3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8" fontId="22" fillId="0" borderId="0">
      <alignment horizontal="center"/>
    </xf>
    <xf numFmtId="192" fontId="23" fillId="0" borderId="0">
      <alignment vertical="center"/>
      <protection locked="0"/>
    </xf>
    <xf numFmtId="178" fontId="24" fillId="0" borderId="0">
      <alignment horizontal="center"/>
    </xf>
    <xf numFmtId="189" fontId="16" fillId="0" borderId="0">
      <alignment vertical="center"/>
      <protection locked="0"/>
    </xf>
    <xf numFmtId="3" fontId="16" fillId="0" borderId="0">
      <alignment horizontal="right" vertical="center"/>
      <protection locked="0"/>
    </xf>
    <xf numFmtId="40" fontId="25" fillId="0" borderId="0" applyFont="0" applyFill="0" applyBorder="0" applyAlignment="0" applyProtection="0"/>
    <xf numFmtId="198" fontId="26" fillId="0" borderId="0">
      <alignment horizontal="center" vertical="center"/>
    </xf>
    <xf numFmtId="197" fontId="27" fillId="0" borderId="0">
      <alignment vertical="center"/>
    </xf>
    <xf numFmtId="0" fontId="13" fillId="16" borderId="9">
      <alignment horizontal="left" vertical="center"/>
    </xf>
    <xf numFmtId="0" fontId="28" fillId="0" borderId="10">
      <alignment horizontal="center" vertical="center"/>
    </xf>
    <xf numFmtId="197" fontId="27" fillId="0" borderId="0">
      <alignment vertical="center"/>
    </xf>
    <xf numFmtId="197" fontId="27" fillId="0" borderId="0">
      <alignment vertical="center"/>
    </xf>
    <xf numFmtId="185" fontId="16" fillId="0" borderId="0">
      <alignment vertical="center"/>
      <protection locked="0"/>
    </xf>
    <xf numFmtId="0" fontId="29" fillId="0" borderId="11" applyNumberFormat="0">
      <alignment horizontal="center"/>
    </xf>
    <xf numFmtId="194" fontId="30" fillId="13" borderId="0">
      <alignment vertical="center" wrapText="1"/>
    </xf>
    <xf numFmtId="182" fontId="17" fillId="0" borderId="0"/>
    <xf numFmtId="193" fontId="16" fillId="0" borderId="0">
      <alignment vertical="center"/>
      <protection locked="0"/>
    </xf>
    <xf numFmtId="177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6" borderId="12">
      <alignment horizontal="center" vertical="center"/>
    </xf>
    <xf numFmtId="0" fontId="13" fillId="17" borderId="13">
      <alignment horizontal="center" vertical="center"/>
    </xf>
    <xf numFmtId="195" fontId="17" fillId="0" borderId="0">
      <alignment horizontal="center"/>
    </xf>
    <xf numFmtId="0" fontId="33" fillId="3" borderId="0" applyNumberFormat="0" applyBorder="0" applyAlignment="0" applyProtection="0"/>
    <xf numFmtId="0" fontId="34" fillId="0" borderId="0">
      <alignment horizontal="center" vertical="center"/>
      <protection hidden="1"/>
    </xf>
    <xf numFmtId="3" fontId="35" fillId="18" borderId="14">
      <alignment vertical="center" wrapText="1"/>
    </xf>
    <xf numFmtId="3" fontId="17" fillId="19" borderId="0">
      <alignment vertical="center" wrapText="1"/>
    </xf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5" borderId="5" applyNumberFormat="0" applyAlignment="0" applyProtection="0"/>
    <xf numFmtId="3" fontId="40" fillId="20" borderId="0">
      <alignment horizontal="center"/>
    </xf>
    <xf numFmtId="3" fontId="16" fillId="20" borderId="0">
      <alignment vertical="center"/>
      <protection locked="0"/>
    </xf>
    <xf numFmtId="201" fontId="18" fillId="0" borderId="0">
      <alignment horizontal="left" vertical="center"/>
    </xf>
    <xf numFmtId="3" fontId="17" fillId="13" borderId="0">
      <alignment vertical="center" wrapText="1"/>
    </xf>
    <xf numFmtId="0" fontId="41" fillId="21" borderId="0">
      <alignment horizontal="center" vertical="center" wrapText="1"/>
    </xf>
    <xf numFmtId="190" fontId="16" fillId="0" borderId="0">
      <alignment vertical="center"/>
      <protection locked="0"/>
    </xf>
    <xf numFmtId="0" fontId="42" fillId="0" borderId="7" applyNumberFormat="0" applyFill="0" applyAlignment="0" applyProtection="0"/>
    <xf numFmtId="164" fontId="43" fillId="0" borderId="0" applyFont="0" applyFill="0" applyBorder="0" applyAlignment="0" applyProtection="0"/>
    <xf numFmtId="176" fontId="13" fillId="0" borderId="0">
      <alignment vertical="center"/>
    </xf>
    <xf numFmtId="1" fontId="44" fillId="0" borderId="11"/>
    <xf numFmtId="191" fontId="16" fillId="0" borderId="0">
      <alignment vertical="center"/>
      <protection locked="0"/>
    </xf>
    <xf numFmtId="196" fontId="17" fillId="13" borderId="0">
      <alignment vertical="center" wrapText="1"/>
    </xf>
    <xf numFmtId="0" fontId="45" fillId="10" borderId="0" applyNumberFormat="0" applyBorder="0" applyAlignment="0" applyProtection="0"/>
    <xf numFmtId="3" fontId="16" fillId="0" borderId="17">
      <alignment vertical="center"/>
      <protection locked="0"/>
    </xf>
    <xf numFmtId="0" fontId="46" fillId="0" borderId="0"/>
    <xf numFmtId="0" fontId="13" fillId="7" borderId="18" applyNumberFormat="0" applyFont="0" applyAlignment="0" applyProtection="0"/>
    <xf numFmtId="0" fontId="47" fillId="6" borderId="19" applyNumberFormat="0" applyAlignment="0" applyProtection="0"/>
    <xf numFmtId="0" fontId="16" fillId="0" borderId="0">
      <alignment vertical="center"/>
      <protection locked="0"/>
    </xf>
    <xf numFmtId="9" fontId="2" fillId="0" borderId="0" applyFont="0" applyFill="0" applyBorder="0" applyAlignment="0" applyProtection="0"/>
    <xf numFmtId="200" fontId="13" fillId="0" borderId="0">
      <alignment horizontal="left" vertical="center"/>
    </xf>
    <xf numFmtId="199" fontId="13" fillId="0" borderId="0">
      <alignment horizontal="left" vertical="center"/>
    </xf>
    <xf numFmtId="0" fontId="16" fillId="0" borderId="0">
      <alignment vertical="center"/>
      <protection locked="0"/>
    </xf>
    <xf numFmtId="0" fontId="25" fillId="0" borderId="0"/>
    <xf numFmtId="187" fontId="17" fillId="13" borderId="0">
      <alignment horizontal="right" vertical="center" wrapText="1"/>
    </xf>
    <xf numFmtId="188" fontId="16" fillId="0" borderId="0">
      <alignment vertical="center"/>
      <protection locked="0"/>
    </xf>
    <xf numFmtId="0" fontId="48" fillId="0" borderId="0" applyNumberFormat="0" applyFill="0" applyBorder="0" applyAlignment="0" applyProtection="0"/>
    <xf numFmtId="3" fontId="49" fillId="0" borderId="0">
      <alignment horizontal="center" vertical="center"/>
      <protection locked="0"/>
    </xf>
    <xf numFmtId="186" fontId="16" fillId="0" borderId="11"/>
    <xf numFmtId="0" fontId="16" fillId="0" borderId="0">
      <alignment vertical="center"/>
      <protection hidden="1"/>
    </xf>
    <xf numFmtId="3" fontId="16" fillId="22" borderId="0">
      <alignment vertical="center"/>
      <protection locked="0"/>
    </xf>
    <xf numFmtId="0" fontId="13" fillId="23" borderId="0">
      <alignment horizontal="left" vertical="center"/>
    </xf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7">
    <xf numFmtId="0" fontId="0" fillId="0" borderId="0" xfId="0"/>
    <xf numFmtId="4" fontId="0" fillId="0" borderId="0" xfId="0" applyNumberFormat="1"/>
    <xf numFmtId="10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0" applyFont="1"/>
    <xf numFmtId="3" fontId="4" fillId="0" borderId="0" xfId="0" applyNumberFormat="1" applyFont="1"/>
    <xf numFmtId="165" fontId="4" fillId="0" borderId="0" xfId="0" applyNumberFormat="1" applyFont="1"/>
    <xf numFmtId="0" fontId="11" fillId="23" borderId="0" xfId="0" applyFont="1" applyFill="1" applyBorder="1" applyAlignment="1">
      <alignment horizontal="center" vertical="center" wrapText="1"/>
    </xf>
    <xf numFmtId="0" fontId="11" fillId="23" borderId="23" xfId="0" applyFont="1" applyFill="1" applyBorder="1" applyAlignment="1" applyProtection="1">
      <alignment horizontal="center" vertical="center" wrapText="1"/>
      <protection hidden="1"/>
    </xf>
    <xf numFmtId="0" fontId="11" fillId="23" borderId="24" xfId="0" applyFont="1" applyFill="1" applyBorder="1" applyAlignment="1" applyProtection="1">
      <alignment horizontal="center" vertical="center" wrapText="1"/>
      <protection hidden="1"/>
    </xf>
    <xf numFmtId="3" fontId="11" fillId="23" borderId="25" xfId="0" applyNumberFormat="1" applyFont="1" applyFill="1" applyBorder="1" applyAlignment="1">
      <alignment horizontal="center" vertical="center" wrapText="1"/>
    </xf>
    <xf numFmtId="0" fontId="11" fillId="23" borderId="0" xfId="0" applyFont="1" applyFill="1"/>
    <xf numFmtId="174" fontId="11" fillId="23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/>
    </xf>
    <xf numFmtId="0" fontId="50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3" fillId="25" borderId="1" xfId="0" applyNumberFormat="1" applyFont="1" applyFill="1" applyBorder="1" applyAlignment="1" applyProtection="1">
      <alignment horizontal="center" vertical="center"/>
      <protection hidden="1"/>
    </xf>
    <xf numFmtId="0" fontId="3" fillId="25" borderId="1" xfId="0" applyNumberFormat="1" applyFont="1" applyFill="1" applyBorder="1" applyAlignment="1" applyProtection="1">
      <alignment horizontal="center" vertical="center"/>
      <protection hidden="1"/>
    </xf>
    <xf numFmtId="3" fontId="4" fillId="25" borderId="1" xfId="0" applyNumberFormat="1" applyFont="1" applyFill="1" applyBorder="1" applyAlignment="1">
      <alignment horizontal="center" vertical="center" wrapText="1"/>
    </xf>
    <xf numFmtId="10" fontId="5" fillId="25" borderId="1" xfId="87" applyNumberFormat="1" applyFont="1" applyFill="1" applyBorder="1" applyAlignment="1" applyProtection="1">
      <alignment horizontal="center" vertical="center"/>
      <protection hidden="1"/>
    </xf>
    <xf numFmtId="170" fontId="4" fillId="27" borderId="1" xfId="0" applyNumberFormat="1" applyFont="1" applyFill="1" applyBorder="1" applyAlignment="1">
      <alignment horizontal="center" vertical="center" wrapText="1"/>
    </xf>
    <xf numFmtId="170" fontId="3" fillId="27" borderId="1" xfId="0" applyNumberFormat="1" applyFont="1" applyFill="1" applyBorder="1" applyAlignment="1">
      <alignment horizontal="center" vertical="center" wrapText="1"/>
    </xf>
    <xf numFmtId="165" fontId="4" fillId="26" borderId="1" xfId="0" applyNumberFormat="1" applyFont="1" applyFill="1" applyBorder="1" applyAlignment="1">
      <alignment horizontal="center" vertical="center" wrapText="1"/>
    </xf>
    <xf numFmtId="169" fontId="4" fillId="28" borderId="1" xfId="0" applyNumberFormat="1" applyFont="1" applyFill="1" applyBorder="1" applyAlignment="1">
      <alignment horizontal="center"/>
    </xf>
    <xf numFmtId="172" fontId="4" fillId="28" borderId="1" xfId="0" applyNumberFormat="1" applyFont="1" applyFill="1" applyBorder="1" applyAlignment="1">
      <alignment horizontal="center"/>
    </xf>
    <xf numFmtId="170" fontId="3" fillId="28" borderId="1" xfId="0" applyNumberFormat="1" applyFont="1" applyFill="1" applyBorder="1" applyAlignment="1">
      <alignment horizontal="center" vertical="center" wrapText="1"/>
    </xf>
    <xf numFmtId="170" fontId="4" fillId="28" borderId="1" xfId="0" applyNumberFormat="1" applyFont="1" applyFill="1" applyBorder="1" applyAlignment="1">
      <alignment horizontal="right" indent="1"/>
    </xf>
    <xf numFmtId="170" fontId="5" fillId="24" borderId="1" xfId="0" applyNumberFormat="1" applyFont="1" applyFill="1" applyBorder="1" applyAlignment="1">
      <alignment horizontal="center" vertical="center" wrapText="1"/>
    </xf>
    <xf numFmtId="10" fontId="53" fillId="23" borderId="24" xfId="87" applyNumberFormat="1" applyFont="1" applyFill="1" applyBorder="1" applyAlignment="1">
      <alignment horizontal="center" vertical="center" wrapText="1"/>
    </xf>
    <xf numFmtId="170" fontId="53" fillId="23" borderId="25" xfId="0" applyNumberFormat="1" applyFont="1" applyFill="1" applyBorder="1" applyAlignment="1">
      <alignment horizontal="center" vertical="center" wrapText="1"/>
    </xf>
    <xf numFmtId="165" fontId="53" fillId="23" borderId="25" xfId="0" applyNumberFormat="1" applyFont="1" applyFill="1" applyBorder="1" applyAlignment="1">
      <alignment horizontal="center" vertical="center" wrapText="1"/>
    </xf>
    <xf numFmtId="0" fontId="53" fillId="23" borderId="0" xfId="0" applyFont="1" applyFill="1" applyBorder="1" applyAlignment="1">
      <alignment horizontal="center" vertical="center" wrapText="1"/>
    </xf>
    <xf numFmtId="0" fontId="53" fillId="23" borderId="23" xfId="0" applyFont="1" applyFill="1" applyBorder="1" applyAlignment="1">
      <alignment horizontal="center" vertical="center" wrapText="1"/>
    </xf>
    <xf numFmtId="0" fontId="3" fillId="29" borderId="1" xfId="0" applyFont="1" applyFill="1" applyBorder="1" applyAlignment="1">
      <alignment horizontal="center" vertical="center"/>
    </xf>
    <xf numFmtId="173" fontId="53" fillId="0" borderId="29" xfId="87" applyNumberFormat="1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54" fillId="0" borderId="20" xfId="0" applyNumberFormat="1" applyFont="1" applyBorder="1" applyAlignment="1">
      <alignment horizontal="center" vertical="center"/>
    </xf>
    <xf numFmtId="174" fontId="54" fillId="0" borderId="30" xfId="0" applyNumberFormat="1" applyFont="1" applyBorder="1" applyAlignment="1">
      <alignment horizontal="center" vertical="center"/>
    </xf>
    <xf numFmtId="170" fontId="54" fillId="0" borderId="20" xfId="0" applyNumberFormat="1" applyFont="1" applyBorder="1" applyAlignment="1">
      <alignment horizontal="center" vertical="center"/>
    </xf>
    <xf numFmtId="170" fontId="54" fillId="0" borderId="22" xfId="0" applyNumberFormat="1" applyFont="1" applyBorder="1" applyAlignment="1">
      <alignment horizontal="center" vertical="center"/>
    </xf>
    <xf numFmtId="171" fontId="54" fillId="0" borderId="20" xfId="0" applyNumberFormat="1" applyFont="1" applyBorder="1" applyAlignment="1">
      <alignment horizontal="center" vertical="center"/>
    </xf>
    <xf numFmtId="0" fontId="3" fillId="30" borderId="21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 applyProtection="1">
      <alignment horizontal="center" vertical="center" wrapText="1"/>
      <protection hidden="1"/>
    </xf>
    <xf numFmtId="3" fontId="3" fillId="30" borderId="20" xfId="0" applyNumberFormat="1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165" fontId="3" fillId="30" borderId="20" xfId="0" applyNumberFormat="1" applyFont="1" applyFill="1" applyBorder="1" applyAlignment="1">
      <alignment horizontal="center" vertical="center" wrapText="1"/>
    </xf>
    <xf numFmtId="172" fontId="3" fillId="30" borderId="20" xfId="0" applyNumberFormat="1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170" fontId="53" fillId="23" borderId="24" xfId="0" applyNumberFormat="1" applyFont="1" applyFill="1" applyBorder="1" applyAlignment="1">
      <alignment horizontal="center" vertical="center" wrapText="1"/>
    </xf>
    <xf numFmtId="171" fontId="53" fillId="23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</xf>
    <xf numFmtId="165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vertical="center"/>
    </xf>
    <xf numFmtId="202" fontId="0" fillId="25" borderId="1" xfId="0" applyNumberFormat="1" applyFill="1" applyBorder="1" applyAlignment="1" applyProtection="1">
      <alignment horizontal="left" vertical="center" indent="1"/>
    </xf>
    <xf numFmtId="175" fontId="0" fillId="25" borderId="1" xfId="0" applyNumberForma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horizontal="left" vertical="center" indent="1"/>
    </xf>
    <xf numFmtId="202" fontId="0" fillId="27" borderId="1" xfId="0" applyNumberFormat="1" applyFill="1" applyBorder="1" applyAlignment="1" applyProtection="1">
      <alignment horizontal="left" vertical="center" indent="1"/>
    </xf>
    <xf numFmtId="170" fontId="0" fillId="27" borderId="1" xfId="0" applyNumberFormat="1" applyFill="1" applyBorder="1" applyAlignment="1" applyProtection="1">
      <alignment horizontal="right" vertical="center" indent="1"/>
    </xf>
    <xf numFmtId="9" fontId="52" fillId="25" borderId="1" xfId="87" applyFont="1" applyFill="1" applyBorder="1" applyAlignment="1" applyProtection="1">
      <alignment horizontal="right" vertical="center" indent="1"/>
    </xf>
    <xf numFmtId="9" fontId="0" fillId="0" borderId="0" xfId="0" applyNumberFormat="1" applyAlignment="1" applyProtection="1">
      <alignment vertical="center"/>
    </xf>
    <xf numFmtId="1" fontId="0" fillId="25" borderId="1" xfId="0" applyNumberFormat="1" applyFill="1" applyBorder="1" applyAlignment="1" applyProtection="1">
      <alignment horizontal="right" vertical="center" indent="1"/>
    </xf>
    <xf numFmtId="165" fontId="0" fillId="25" borderId="1" xfId="0" applyNumberFormat="1" applyFill="1" applyBorder="1" applyAlignment="1" applyProtection="1">
      <alignment horizontal="right" vertical="center" indent="1"/>
    </xf>
    <xf numFmtId="170" fontId="0" fillId="0" borderId="0" xfId="0" applyNumberFormat="1" applyFill="1" applyAlignment="1" applyProtection="1">
      <alignment vertical="center"/>
    </xf>
    <xf numFmtId="10" fontId="0" fillId="25" borderId="1" xfId="87" applyNumberFormat="1" applyFont="1" applyFill="1" applyBorder="1" applyAlignment="1" applyProtection="1">
      <alignment horizontal="right" vertical="center" indent="1"/>
    </xf>
    <xf numFmtId="165" fontId="0" fillId="0" borderId="0" xfId="0" applyNumberFormat="1" applyFill="1" applyAlignment="1" applyProtection="1">
      <alignment vertical="center"/>
    </xf>
    <xf numFmtId="202" fontId="0" fillId="25" borderId="1" xfId="0" applyNumberFormat="1" applyFill="1" applyBorder="1" applyAlignment="1" applyProtection="1">
      <alignment horizontal="left" vertical="center" wrapText="1" indent="1"/>
    </xf>
    <xf numFmtId="9" fontId="0" fillId="25" borderId="1" xfId="0" applyNumberFormat="1" applyFill="1" applyBorder="1" applyAlignment="1" applyProtection="1">
      <alignment horizontal="right" vertical="center" indent="1"/>
    </xf>
    <xf numFmtId="10" fontId="0" fillId="0" borderId="0" xfId="0" applyNumberFormat="1" applyFill="1" applyAlignment="1" applyProtection="1">
      <alignment vertical="center"/>
    </xf>
    <xf numFmtId="171" fontId="0" fillId="25" borderId="1" xfId="0" applyNumberFormat="1" applyFill="1" applyBorder="1" applyAlignment="1" applyProtection="1">
      <alignment horizontal="right" vertical="center" indent="1"/>
    </xf>
    <xf numFmtId="202" fontId="0" fillId="28" borderId="1" xfId="0" applyNumberFormat="1" applyFill="1" applyBorder="1" applyAlignment="1" applyProtection="1">
      <alignment horizontal="left" vertical="center" indent="1"/>
    </xf>
    <xf numFmtId="170" fontId="0" fillId="28" borderId="1" xfId="0" applyNumberFormat="1" applyFill="1" applyBorder="1" applyAlignment="1" applyProtection="1">
      <alignment horizontal="right" vertical="center" indent="1"/>
    </xf>
    <xf numFmtId="2" fontId="0" fillId="0" borderId="0" xfId="0" applyNumberFormat="1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6" fillId="30" borderId="1" xfId="0" applyFont="1" applyFill="1" applyBorder="1" applyAlignment="1" applyProtection="1">
      <alignment horizontal="left" vertical="center" indent="1"/>
    </xf>
    <xf numFmtId="170" fontId="0" fillId="30" borderId="1" xfId="0" applyNumberFormat="1" applyFill="1" applyBorder="1" applyAlignment="1" applyProtection="1">
      <alignment horizontal="right" vertical="center" indent="1"/>
    </xf>
    <xf numFmtId="202" fontId="7" fillId="25" borderId="1" xfId="0" applyNumberFormat="1" applyFont="1" applyFill="1" applyBorder="1" applyAlignment="1" applyProtection="1">
      <alignment horizontal="left" vertical="center" indent="1"/>
    </xf>
    <xf numFmtId="9" fontId="7" fillId="25" borderId="1" xfId="0" applyNumberFormat="1" applyFont="1" applyFill="1" applyBorder="1" applyAlignment="1" applyProtection="1">
      <alignment horizontal="right" vertical="center" indent="1"/>
    </xf>
    <xf numFmtId="202" fontId="0" fillId="0" borderId="1" xfId="0" applyNumberFormat="1" applyBorder="1" applyAlignment="1" applyProtection="1">
      <alignment horizontal="left" vertical="center" indent="1"/>
    </xf>
    <xf numFmtId="3" fontId="0" fillId="0" borderId="1" xfId="0" applyNumberFormat="1" applyBorder="1" applyAlignment="1" applyProtection="1">
      <alignment horizontal="right" vertical="center" indent="1"/>
    </xf>
    <xf numFmtId="10" fontId="0" fillId="25" borderId="1" xfId="0" applyNumberFormat="1" applyFill="1" applyBorder="1" applyAlignment="1" applyProtection="1">
      <alignment horizontal="right" vertical="center" indent="1"/>
    </xf>
    <xf numFmtId="1" fontId="7" fillId="25" borderId="1" xfId="0" applyNumberFormat="1" applyFont="1" applyFill="1" applyBorder="1" applyAlignment="1" applyProtection="1">
      <alignment horizontal="right" vertical="center" indent="1"/>
    </xf>
    <xf numFmtId="170" fontId="0" fillId="0" borderId="1" xfId="0" applyNumberFormat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left" vertical="center" indent="1"/>
    </xf>
    <xf numFmtId="171" fontId="6" fillId="30" borderId="1" xfId="0" applyNumberFormat="1" applyFont="1" applyFill="1" applyBorder="1" applyAlignment="1" applyProtection="1">
      <alignment horizontal="right" vertical="center" indent="1"/>
    </xf>
    <xf numFmtId="0" fontId="51" fillId="30" borderId="1" xfId="0" applyFont="1" applyFill="1" applyBorder="1" applyAlignment="1" applyProtection="1">
      <alignment horizontal="left" vertical="center" indent="1"/>
    </xf>
    <xf numFmtId="170" fontId="51" fillId="30" borderId="1" xfId="0" applyNumberFormat="1" applyFont="1" applyFill="1" applyBorder="1" applyAlignment="1" applyProtection="1">
      <alignment horizontal="right" vertical="center" indent="1"/>
    </xf>
    <xf numFmtId="9" fontId="7" fillId="0" borderId="0" xfId="0" applyNumberFormat="1" applyFont="1" applyFill="1" applyAlignment="1" applyProtection="1">
      <alignment vertical="center"/>
    </xf>
    <xf numFmtId="171" fontId="0" fillId="0" borderId="0" xfId="0" applyNumberFormat="1" applyAlignment="1" applyProtection="1">
      <alignment horizontal="left" vertical="center" indent="1"/>
    </xf>
    <xf numFmtId="171" fontId="0" fillId="0" borderId="0" xfId="0" applyNumberFormat="1" applyAlignment="1" applyProtection="1">
      <alignment vertical="center"/>
    </xf>
    <xf numFmtId="171" fontId="0" fillId="0" borderId="0" xfId="0" applyNumberFormat="1" applyAlignment="1" applyProtection="1">
      <alignment horizontal="left" vertical="center"/>
    </xf>
    <xf numFmtId="165" fontId="0" fillId="0" borderId="0" xfId="0" applyNumberFormat="1" applyAlignment="1" applyProtection="1">
      <alignment horizontal="left" vertical="center" indent="1"/>
    </xf>
    <xf numFmtId="165" fontId="0" fillId="0" borderId="0" xfId="0" applyNumberFormat="1" applyAlignment="1" applyProtection="1">
      <alignment horizontal="left" vertical="center"/>
    </xf>
    <xf numFmtId="168" fontId="0" fillId="0" borderId="0" xfId="0" applyNumberFormat="1" applyAlignment="1" applyProtection="1">
      <alignment vertical="center"/>
    </xf>
    <xf numFmtId="3" fontId="0" fillId="25" borderId="1" xfId="0" applyNumberFormat="1" applyFill="1" applyBorder="1" applyAlignment="1" applyProtection="1">
      <alignment horizontal="right" vertical="center" indent="1"/>
    </xf>
    <xf numFmtId="170" fontId="53" fillId="23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23" borderId="34" xfId="0" applyFont="1" applyFill="1" applyBorder="1" applyAlignment="1">
      <alignment vertical="center" wrapText="1"/>
    </xf>
    <xf numFmtId="0" fontId="0" fillId="25" borderId="1" xfId="0" applyFill="1" applyBorder="1" applyAlignment="1" applyProtection="1">
      <alignment horizontal="left" vertical="center"/>
    </xf>
    <xf numFmtId="9" fontId="0" fillId="25" borderId="1" xfId="0" applyNumberFormat="1" applyFill="1" applyBorder="1" applyAlignment="1" applyProtection="1">
      <alignment vertical="center"/>
    </xf>
    <xf numFmtId="170" fontId="0" fillId="0" borderId="0" xfId="0" applyNumberFormat="1" applyFill="1" applyBorder="1" applyAlignment="1" applyProtection="1">
      <alignment horizontal="right" vertical="center"/>
    </xf>
    <xf numFmtId="205" fontId="0" fillId="0" borderId="0" xfId="0" applyNumberFormat="1" applyAlignment="1" applyProtection="1">
      <alignment vertical="center"/>
    </xf>
    <xf numFmtId="202" fontId="0" fillId="25" borderId="9" xfId="0" applyNumberFormat="1" applyFill="1" applyBorder="1" applyAlignment="1" applyProtection="1">
      <alignment horizontal="center" vertical="center"/>
    </xf>
    <xf numFmtId="202" fontId="0" fillId="25" borderId="24" xfId="0" applyNumberFormat="1" applyFill="1" applyBorder="1" applyAlignment="1" applyProtection="1">
      <alignment horizontal="center" vertical="center"/>
    </xf>
    <xf numFmtId="202" fontId="0" fillId="25" borderId="29" xfId="0" applyNumberFormat="1" applyFill="1" applyBorder="1" applyAlignment="1" applyProtection="1">
      <alignment horizontal="center" vertical="center"/>
    </xf>
    <xf numFmtId="170" fontId="0" fillId="25" borderId="9" xfId="0" applyNumberFormat="1" applyFill="1" applyBorder="1" applyAlignment="1" applyProtection="1">
      <alignment horizontal="center" vertical="center"/>
    </xf>
    <xf numFmtId="170" fontId="0" fillId="25" borderId="24" xfId="0" applyNumberFormat="1" applyFill="1" applyBorder="1" applyAlignment="1" applyProtection="1">
      <alignment horizontal="center" vertical="center"/>
    </xf>
    <xf numFmtId="170" fontId="0" fillId="25" borderId="29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right" vertical="center"/>
    </xf>
    <xf numFmtId="202" fontId="55" fillId="25" borderId="1" xfId="0" applyNumberFormat="1" applyFont="1" applyFill="1" applyBorder="1" applyAlignment="1" applyProtection="1">
      <alignment horizontal="left" vertical="center" wrapText="1" indent="1"/>
    </xf>
    <xf numFmtId="171" fontId="4" fillId="0" borderId="0" xfId="0" applyNumberFormat="1" applyFont="1"/>
    <xf numFmtId="0" fontId="56" fillId="0" borderId="0" xfId="0" applyFont="1" applyAlignment="1" applyProtection="1">
      <alignment horizontal="left" vertical="center"/>
    </xf>
    <xf numFmtId="0" fontId="56" fillId="0" borderId="0" xfId="0" applyFont="1" applyAlignment="1" applyProtection="1">
      <alignment vertical="center"/>
    </xf>
    <xf numFmtId="0" fontId="8" fillId="29" borderId="26" xfId="0" applyFont="1" applyFill="1" applyBorder="1" applyAlignment="1" applyProtection="1">
      <alignment horizontal="center" vertical="center" wrapText="1"/>
    </xf>
    <xf numFmtId="0" fontId="8" fillId="29" borderId="27" xfId="0" applyFont="1" applyFill="1" applyBorder="1" applyAlignment="1" applyProtection="1">
      <alignment horizontal="center" vertical="center" wrapText="1"/>
    </xf>
    <xf numFmtId="0" fontId="8" fillId="29" borderId="28" xfId="0" applyFont="1" applyFill="1" applyBorder="1" applyAlignment="1" applyProtection="1">
      <alignment horizontal="center" vertical="center" wrapText="1"/>
    </xf>
    <xf numFmtId="0" fontId="8" fillId="29" borderId="31" xfId="0" applyFont="1" applyFill="1" applyBorder="1" applyAlignment="1" applyProtection="1">
      <alignment horizontal="center" vertical="center" wrapText="1"/>
    </xf>
    <xf numFmtId="0" fontId="8" fillId="29" borderId="32" xfId="0" applyFont="1" applyFill="1" applyBorder="1" applyAlignment="1" applyProtection="1">
      <alignment horizontal="center" vertical="center" wrapText="1"/>
    </xf>
    <xf numFmtId="0" fontId="8" fillId="29" borderId="33" xfId="0" applyFont="1" applyFill="1" applyBorder="1" applyAlignment="1" applyProtection="1">
      <alignment horizontal="center" vertical="center" wrapText="1"/>
    </xf>
    <xf numFmtId="202" fontId="0" fillId="27" borderId="9" xfId="0" applyNumberFormat="1" applyFill="1" applyBorder="1" applyAlignment="1" applyProtection="1">
      <alignment horizontal="center" vertical="center"/>
    </xf>
    <xf numFmtId="202" fontId="0" fillId="27" borderId="29" xfId="0" applyNumberFormat="1" applyFill="1" applyBorder="1" applyAlignment="1" applyProtection="1">
      <alignment horizontal="center" vertical="center"/>
    </xf>
    <xf numFmtId="170" fontId="0" fillId="27" borderId="9" xfId="0" applyNumberFormat="1" applyFill="1" applyBorder="1" applyAlignment="1" applyProtection="1">
      <alignment horizontal="right" vertical="center"/>
    </xf>
    <xf numFmtId="170" fontId="0" fillId="27" borderId="29" xfId="0" applyNumberFormat="1" applyFill="1" applyBorder="1" applyAlignment="1" applyProtection="1">
      <alignment horizontal="right" vertical="center"/>
    </xf>
  </cellXfs>
  <cellStyles count="103">
    <cellStyle name="- -@*. + encadré" xfId="1" xr:uid="{00000000-0005-0000-0000-000000000000}"/>
    <cellStyle name="% 2 déc centré" xfId="2" xr:uid="{00000000-0005-0000-0000-000001000000}"/>
    <cellStyle name="2 décimales centré taille 10" xfId="3" xr:uid="{00000000-0005-0000-0000-000002000000}"/>
    <cellStyle name="2 esp @" xfId="4" xr:uid="{00000000-0005-0000-0000-000003000000}"/>
    <cellStyle name="2 esp @*." xfId="5" xr:uid="{00000000-0005-0000-0000-000004000000}"/>
    <cellStyle name="20% - Accent1" xfId="6" xr:uid="{00000000-0005-0000-0000-000005000000}"/>
    <cellStyle name="20% - Accent2" xfId="7" xr:uid="{00000000-0005-0000-0000-000006000000}"/>
    <cellStyle name="20% - Accent3" xfId="8" xr:uid="{00000000-0005-0000-0000-000007000000}"/>
    <cellStyle name="20% - Accent4" xfId="9" xr:uid="{00000000-0005-0000-0000-000008000000}"/>
    <cellStyle name="20% - Accent5" xfId="10" xr:uid="{00000000-0005-0000-0000-000009000000}"/>
    <cellStyle name="20% - Accent6" xfId="11" xr:uid="{00000000-0005-0000-0000-00000A000000}"/>
    <cellStyle name="40% - Accent1" xfId="12" xr:uid="{00000000-0005-0000-0000-00000B000000}"/>
    <cellStyle name="40% - Accent2" xfId="13" xr:uid="{00000000-0005-0000-0000-00000C000000}"/>
    <cellStyle name="40% - Accent3" xfId="14" xr:uid="{00000000-0005-0000-0000-00000D000000}"/>
    <cellStyle name="40% - Accent4" xfId="15" xr:uid="{00000000-0005-0000-0000-00000E000000}"/>
    <cellStyle name="40% - Accent5" xfId="16" xr:uid="{00000000-0005-0000-0000-00000F000000}"/>
    <cellStyle name="40% - Accent6" xfId="17" xr:uid="{00000000-0005-0000-0000-000010000000}"/>
    <cellStyle name="60% - Accent1" xfId="18" xr:uid="{00000000-0005-0000-0000-000011000000}"/>
    <cellStyle name="60% - Accent2" xfId="19" xr:uid="{00000000-0005-0000-0000-000012000000}"/>
    <cellStyle name="60% - Accent3" xfId="20" xr:uid="{00000000-0005-0000-0000-000013000000}"/>
    <cellStyle name="60% - Accent4" xfId="21" xr:uid="{00000000-0005-0000-0000-000014000000}"/>
    <cellStyle name="60% - Accent5" xfId="22" xr:uid="{00000000-0005-0000-0000-000015000000}"/>
    <cellStyle name="60% - Accent6" xfId="23" xr:uid="{00000000-0005-0000-0000-000016000000}"/>
    <cellStyle name="Bad" xfId="24" xr:uid="{00000000-0005-0000-0000-000017000000}"/>
    <cellStyle name="Blanc normal" xfId="25" xr:uid="{00000000-0005-0000-0000-000018000000}"/>
    <cellStyle name="Blanchir" xfId="26" xr:uid="{00000000-0005-0000-0000-000019000000}"/>
    <cellStyle name="Bordure_gris" xfId="27" xr:uid="{00000000-0005-0000-0000-00001A000000}"/>
    <cellStyle name="caché" xfId="28" xr:uid="{00000000-0005-0000-0000-00001B000000}"/>
    <cellStyle name="Cadre fin G.D" xfId="29" xr:uid="{00000000-0005-0000-0000-00001C000000}"/>
    <cellStyle name="Cadre_fin" xfId="30" xr:uid="{00000000-0005-0000-0000-00001D000000}"/>
    <cellStyle name="Calculation" xfId="31" xr:uid="{00000000-0005-0000-0000-00001E000000}"/>
    <cellStyle name="cBMilliers" xfId="32" xr:uid="{00000000-0005-0000-0000-00001F000000}"/>
    <cellStyle name="cBMilliers-" xfId="33" xr:uid="{00000000-0005-0000-0000-000020000000}"/>
    <cellStyle name="Check Cell" xfId="34" xr:uid="{00000000-0005-0000-0000-000021000000}"/>
    <cellStyle name="chiff + 2 espaces" xfId="35" xr:uid="{00000000-0005-0000-0000-000022000000}"/>
    <cellStyle name="Comma [0]" xfId="36" xr:uid="{00000000-0005-0000-0000-000023000000}"/>
    <cellStyle name="Currency [0]" xfId="37" xr:uid="{00000000-0005-0000-0000-000024000000}"/>
    <cellStyle name="Date 5 nov 98" xfId="38" xr:uid="{00000000-0005-0000-0000-000025000000}"/>
    <cellStyle name="Date en rouge" xfId="39" xr:uid="{00000000-0005-0000-0000-000026000000}"/>
    <cellStyle name="Date rouge" xfId="40" xr:uid="{00000000-0005-0000-0000-000027000000}"/>
    <cellStyle name="Date_av_jour" xfId="41" xr:uid="{00000000-0005-0000-0000-000028000000}"/>
    <cellStyle name="Deverrouillage" xfId="42" xr:uid="{00000000-0005-0000-0000-000029000000}"/>
    <cellStyle name="Dezimal_PROMILLE" xfId="43" xr:uid="{00000000-0005-0000-0000-00002A000000}"/>
    <cellStyle name="édité le :" xfId="44" xr:uid="{00000000-0005-0000-0000-00002B000000}"/>
    <cellStyle name="Encadmt_noir" xfId="45" xr:uid="{00000000-0005-0000-0000-00002C000000}"/>
    <cellStyle name="encadré jaune" xfId="46" xr:uid="{00000000-0005-0000-0000-00002D000000}"/>
    <cellStyle name="encadré rouge text bleu gras" xfId="47" xr:uid="{00000000-0005-0000-0000-00002E000000}"/>
    <cellStyle name="Encadremt_noir" xfId="48" xr:uid="{00000000-0005-0000-0000-00002F000000}"/>
    <cellStyle name="Encadrt_noir" xfId="49" xr:uid="{00000000-0005-0000-0000-000030000000}"/>
    <cellStyle name="Enlever Zéro" xfId="50" xr:uid="{00000000-0005-0000-0000-000031000000}"/>
    <cellStyle name="en-tête" xfId="51" xr:uid="{00000000-0005-0000-0000-000032000000}"/>
    <cellStyle name="Entiers_9" xfId="52" xr:uid="{00000000-0005-0000-0000-000033000000}"/>
    <cellStyle name="Escargot" xfId="53" xr:uid="{00000000-0005-0000-0000-000034000000}"/>
    <cellStyle name="Espace pointil" xfId="54" xr:uid="{00000000-0005-0000-0000-000035000000}"/>
    <cellStyle name="Euro" xfId="55" xr:uid="{00000000-0005-0000-0000-000036000000}"/>
    <cellStyle name="Explanatory Text" xfId="56" xr:uid="{00000000-0005-0000-0000-000037000000}"/>
    <cellStyle name="fd jaune centré rouge" xfId="57" xr:uid="{00000000-0005-0000-0000-000038000000}"/>
    <cellStyle name="fond gris enc rouge" xfId="58" xr:uid="{00000000-0005-0000-0000-000039000000}"/>
    <cellStyle name="Fractionnaire" xfId="59" xr:uid="{00000000-0005-0000-0000-00003A000000}"/>
    <cellStyle name="Good" xfId="60" xr:uid="{00000000-0005-0000-0000-00003B000000}"/>
    <cellStyle name="Gras 14 centré" xfId="61" xr:uid="{00000000-0005-0000-0000-00003C000000}"/>
    <cellStyle name="Gris_liseret" xfId="62" xr:uid="{00000000-0005-0000-0000-00003D000000}"/>
    <cellStyle name="Grisé" xfId="63" xr:uid="{00000000-0005-0000-0000-00003E000000}"/>
    <cellStyle name="Heading 1" xfId="64" xr:uid="{00000000-0005-0000-0000-00003F000000}"/>
    <cellStyle name="Heading 2" xfId="65" xr:uid="{00000000-0005-0000-0000-000040000000}"/>
    <cellStyle name="Heading 3" xfId="66" xr:uid="{00000000-0005-0000-0000-000041000000}"/>
    <cellStyle name="Heading 4" xfId="67" xr:uid="{00000000-0005-0000-0000-000042000000}"/>
    <cellStyle name="Input" xfId="68" xr:uid="{00000000-0005-0000-0000-000043000000}"/>
    <cellStyle name="jaune" xfId="69" xr:uid="{00000000-0005-0000-0000-000044000000}"/>
    <cellStyle name="Jaunir" xfId="70" xr:uid="{00000000-0005-0000-0000-000045000000}"/>
    <cellStyle name="Jo SCHNEIDER" xfId="71" xr:uid="{00000000-0005-0000-0000-000046000000}"/>
    <cellStyle name="Jo_1" xfId="72" xr:uid="{00000000-0005-0000-0000-000047000000}"/>
    <cellStyle name="joli" xfId="73" xr:uid="{00000000-0005-0000-0000-000048000000}"/>
    <cellStyle name="KF arrondi" xfId="74" xr:uid="{00000000-0005-0000-0000-000049000000}"/>
    <cellStyle name="Linked Cell" xfId="75" xr:uid="{00000000-0005-0000-0000-00004A000000}"/>
    <cellStyle name="Mi" xfId="76" xr:uid="{00000000-0005-0000-0000-00004B000000}"/>
    <cellStyle name="Milliers 0 déc" xfId="77" xr:uid="{00000000-0005-0000-0000-00004C000000}"/>
    <cellStyle name="mois" xfId="78" xr:uid="{00000000-0005-0000-0000-00004D000000}"/>
    <cellStyle name="Mulhouse, le" xfId="79" xr:uid="{00000000-0005-0000-0000-00004F000000}"/>
    <cellStyle name="Nbre_négatif_rouge" xfId="80" xr:uid="{00000000-0005-0000-0000-000050000000}"/>
    <cellStyle name="Neutral" xfId="81" xr:uid="{00000000-0005-0000-0000-000051000000}"/>
    <cellStyle name="Noir_très_épai" xfId="82" xr:uid="{00000000-0005-0000-0000-000052000000}"/>
    <cellStyle name="Normal" xfId="0" builtinId="0"/>
    <cellStyle name="Normal 2" xfId="83" xr:uid="{00000000-0005-0000-0000-000054000000}"/>
    <cellStyle name="Note" xfId="84" xr:uid="{00000000-0005-0000-0000-000055000000}"/>
    <cellStyle name="Output" xfId="85" xr:uid="{00000000-0005-0000-0000-000056000000}"/>
    <cellStyle name="Pointillé" xfId="86" xr:uid="{00000000-0005-0000-0000-000057000000}"/>
    <cellStyle name="Pourcentage" xfId="87" builtinId="5"/>
    <cellStyle name="prix 2 déc HT" xfId="88" xr:uid="{00000000-0005-0000-0000-000059000000}"/>
    <cellStyle name="prix 2 déc TTC" xfId="89" xr:uid="{00000000-0005-0000-0000-00005A000000}"/>
    <cellStyle name="Retrait_2_esp" xfId="90" xr:uid="{00000000-0005-0000-0000-00005B000000}"/>
    <cellStyle name="Standard_Dialog1" xfId="91" xr:uid="{00000000-0005-0000-0000-00005C000000}"/>
    <cellStyle name="Supprime_Zéro" xfId="92" xr:uid="{00000000-0005-0000-0000-00005D000000}"/>
    <cellStyle name="Téléphone" xfId="93" xr:uid="{00000000-0005-0000-0000-00005E000000}"/>
    <cellStyle name="Title" xfId="94" xr:uid="{00000000-0005-0000-0000-00005F000000}"/>
    <cellStyle name="Titre en bleu" xfId="95" xr:uid="{00000000-0005-0000-0000-000060000000}"/>
    <cellStyle name="totalm" xfId="96" xr:uid="{00000000-0005-0000-0000-000061000000}"/>
    <cellStyle name="Ve Ma Ca" xfId="97" xr:uid="{00000000-0005-0000-0000-000062000000}"/>
    <cellStyle name="Verdir" xfId="98" xr:uid="{00000000-0005-0000-0000-000063000000}"/>
    <cellStyle name="VIDE BLANC" xfId="99" xr:uid="{00000000-0005-0000-0000-000064000000}"/>
    <cellStyle name="Währung [0]_Dialog1" xfId="100" xr:uid="{00000000-0005-0000-0000-000065000000}"/>
    <cellStyle name="Währung_Dialog1" xfId="101" xr:uid="{00000000-0005-0000-0000-000066000000}"/>
    <cellStyle name="Warning Text" xfId="102" xr:uid="{00000000-0005-0000-0000-000067000000}"/>
  </cellStyles>
  <dxfs count="22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indexed="4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Temps de retour actualisé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9007473078398"/>
          <c:y val="9.7971213800893242E-2"/>
          <c:w val="0.87682983571477202"/>
          <c:h val="0.84145695347363825"/>
        </c:manualLayout>
      </c:layout>
      <c:lineChart>
        <c:grouping val="standard"/>
        <c:varyColors val="0"/>
        <c:ser>
          <c:idx val="0"/>
          <c:order val="0"/>
          <c:tx>
            <c:v>Flux de trésorerie</c:v>
          </c:tx>
          <c:marker>
            <c:symbol val="none"/>
          </c:marker>
          <c:val>
            <c:numRef>
              <c:f>'Tresorerie autoconsomat'!$S$5:$S$24</c:f>
              <c:numCache>
                <c:formatCode>#\ ##0\ "€"</c:formatCode>
                <c:ptCount val="20"/>
                <c:pt idx="0">
                  <c:v>-9020.366</c:v>
                </c:pt>
                <c:pt idx="1">
                  <c:v>-7886.7351699999999</c:v>
                </c:pt>
                <c:pt idx="2">
                  <c:v>-6763.1217691499996</c:v>
                </c:pt>
                <c:pt idx="3">
                  <c:v>-5649.5409494292498</c:v>
                </c:pt>
                <c:pt idx="4">
                  <c:v>-4546.0087656439791</c:v>
                </c:pt>
                <c:pt idx="5">
                  <c:v>-3452.5421855920622</c:v>
                </c:pt>
                <c:pt idx="6">
                  <c:v>-2369.1591003970493</c:v>
                </c:pt>
                <c:pt idx="7">
                  <c:v>-1295.8783350140059</c:v>
                </c:pt>
                <c:pt idx="8">
                  <c:v>-232.71965890966169</c:v>
                </c:pt>
                <c:pt idx="9">
                  <c:v>820.29620308059987</c:v>
                </c:pt>
                <c:pt idx="10">
                  <c:v>1863.1475597163455</c:v>
                </c:pt>
                <c:pt idx="11">
                  <c:v>2895.8117421336801</c:v>
                </c:pt>
                <c:pt idx="12">
                  <c:v>3918.2650924421664</c:v>
                </c:pt>
                <c:pt idx="13">
                  <c:v>4930.4829521343972</c:v>
                </c:pt>
                <c:pt idx="14">
                  <c:v>5932.4396503054841</c:v>
                </c:pt>
                <c:pt idx="15">
                  <c:v>6924.1084916796908</c:v>
                </c:pt>
                <c:pt idx="16">
                  <c:v>7905.4617444414143</c:v>
                </c:pt>
                <c:pt idx="17">
                  <c:v>8876.4706278676313</c:v>
                </c:pt>
                <c:pt idx="18">
                  <c:v>9837.1052997589413</c:v>
                </c:pt>
                <c:pt idx="19">
                  <c:v>10787.334843666256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AF-4397-8F82-CFA1CAD9A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11048"/>
        <c:axId val="588912224"/>
      </c:lineChart>
      <c:catAx>
        <c:axId val="58891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Années</a:t>
                </a:r>
              </a:p>
            </c:rich>
          </c:tx>
          <c:layout>
            <c:manualLayout>
              <c:xMode val="edge"/>
              <c:yMode val="edge"/>
              <c:x val="0.9261693876161915"/>
              <c:y val="0.59454816376548414"/>
            </c:manualLayout>
          </c:layout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fr-FR"/>
          </a:p>
        </c:txPr>
        <c:crossAx val="588912224"/>
        <c:crosses val="autoZero"/>
        <c:auto val="1"/>
        <c:lblAlgn val="ctr"/>
        <c:lblOffset val="100"/>
        <c:noMultiLvlLbl val="0"/>
      </c:catAx>
      <c:valAx>
        <c:axId val="5889122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€</a:t>
                </a:r>
              </a:p>
            </c:rich>
          </c:tx>
          <c:layout>
            <c:manualLayout>
              <c:xMode val="edge"/>
              <c:yMode val="edge"/>
              <c:x val="9.6144682829423553E-2"/>
              <c:y val="1.0493706067267586E-2"/>
            </c:manualLayout>
          </c:layout>
          <c:overlay val="0"/>
        </c:title>
        <c:numFmt formatCode="#\ ##0\ &quot;€&quot;" sourceLinked="1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fr-FR"/>
          </a:p>
        </c:txPr>
        <c:crossAx val="588911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75317080247479"/>
          <c:y val="0.44275839500404868"/>
          <c:w val="0.16689129975322958"/>
          <c:h val="4.7393067338578822E-2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375463</xdr:colOff>
      <xdr:row>26</xdr:row>
      <xdr:rowOff>124488</xdr:rowOff>
    </xdr:from>
    <xdr:to>
      <xdr:col>5</xdr:col>
      <xdr:colOff>351651</xdr:colOff>
      <xdr:row>54</xdr:row>
      <xdr:rowOff>175999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outlinePr showOutlineSymbols="0"/>
    <pageSetUpPr fitToPage="1"/>
  </sheetPr>
  <dimension ref="B1:AB50"/>
  <sheetViews>
    <sheetView showGridLines="0" tabSelected="1" showOutlineSymbols="0" zoomScale="98" zoomScaleNormal="98" workbookViewId="0">
      <selection activeCell="G12" sqref="G12"/>
    </sheetView>
  </sheetViews>
  <sheetFormatPr baseColWidth="10" defaultColWidth="11.42578125" defaultRowHeight="15" outlineLevelCol="1"/>
  <cols>
    <col min="1" max="1" width="1.7109375" style="56" customWidth="1"/>
    <col min="2" max="2" width="37" style="53" bestFit="1" customWidth="1"/>
    <col min="3" max="3" width="13.85546875" style="54" customWidth="1" collapsed="1"/>
    <col min="4" max="4" width="17.28515625" style="55" customWidth="1"/>
    <col min="5" max="5" width="66.28515625" style="53" customWidth="1"/>
    <col min="6" max="6" width="16.7109375" style="56" bestFit="1" customWidth="1"/>
    <col min="7" max="7" width="9.140625" style="56" bestFit="1" customWidth="1" outlineLevel="1"/>
    <col min="8" max="8" width="25" style="56" customWidth="1" collapsed="1"/>
    <col min="9" max="9" width="24.42578125" style="56" customWidth="1"/>
    <col min="10" max="10" width="27.85546875" style="56" customWidth="1"/>
    <col min="11" max="16384" width="11.42578125" style="56"/>
  </cols>
  <sheetData>
    <row r="1" spans="2:8" ht="5.25" customHeight="1" thickBot="1"/>
    <row r="2" spans="2:8">
      <c r="B2" s="117" t="s">
        <v>80</v>
      </c>
      <c r="C2" s="118"/>
      <c r="D2" s="118"/>
      <c r="E2" s="118"/>
      <c r="F2" s="119"/>
    </row>
    <row r="3" spans="2:8" ht="15.75" thickBot="1">
      <c r="B3" s="120"/>
      <c r="C3" s="121"/>
      <c r="D3" s="121"/>
      <c r="E3" s="121"/>
      <c r="F3" s="122"/>
    </row>
    <row r="4" spans="2:8" ht="12.75" customHeight="1"/>
    <row r="5" spans="2:8" ht="12.75" customHeight="1">
      <c r="B5" s="57" t="s">
        <v>34</v>
      </c>
      <c r="C5" s="58">
        <v>8.91</v>
      </c>
      <c r="D5" s="59" t="s">
        <v>31</v>
      </c>
      <c r="E5" s="123" t="s">
        <v>69</v>
      </c>
      <c r="F5" s="125">
        <f>Puissance*coutkwc</f>
        <v>14940</v>
      </c>
    </row>
    <row r="6" spans="2:8" ht="18.75" customHeight="1">
      <c r="B6" s="57" t="s">
        <v>40</v>
      </c>
      <c r="C6" s="97">
        <v>1000</v>
      </c>
      <c r="D6" s="59"/>
      <c r="E6" s="124"/>
      <c r="F6" s="126"/>
    </row>
    <row r="7" spans="2:8" ht="18.75" customHeight="1">
      <c r="B7" s="57" t="s">
        <v>22</v>
      </c>
      <c r="C7" s="62">
        <v>0</v>
      </c>
      <c r="E7" s="60" t="s">
        <v>19</v>
      </c>
      <c r="F7" s="61">
        <f>F5*C16</f>
        <v>0</v>
      </c>
      <c r="H7" s="63"/>
    </row>
    <row r="8" spans="2:8" ht="18.75" customHeight="1">
      <c r="B8" s="57" t="s">
        <v>35</v>
      </c>
      <c r="C8" s="64">
        <v>0</v>
      </c>
      <c r="D8" s="55" t="s">
        <v>30</v>
      </c>
      <c r="E8" s="60" t="s">
        <v>14</v>
      </c>
      <c r="F8" s="61">
        <v>3000</v>
      </c>
      <c r="H8" s="63"/>
    </row>
    <row r="9" spans="2:8" ht="18.75" customHeight="1">
      <c r="B9" s="57" t="s">
        <v>66</v>
      </c>
      <c r="C9" s="65">
        <v>0.12</v>
      </c>
      <c r="E9" s="60" t="s">
        <v>79</v>
      </c>
      <c r="F9" s="61">
        <f>1800+0.4*coutinstallation</f>
        <v>7776</v>
      </c>
      <c r="H9" s="66"/>
    </row>
    <row r="10" spans="2:8" ht="18.75" customHeight="1">
      <c r="B10" s="57" t="s">
        <v>67</v>
      </c>
      <c r="C10" s="67">
        <v>0.03</v>
      </c>
      <c r="E10" s="60" t="s">
        <v>15</v>
      </c>
      <c r="F10" s="61">
        <f>(F5+F7+F8)-F9</f>
        <v>10164</v>
      </c>
      <c r="H10" s="68"/>
    </row>
    <row r="11" spans="2:8" ht="18.75" customHeight="1">
      <c r="B11" s="57" t="s">
        <v>48</v>
      </c>
      <c r="C11" s="70" t="s">
        <v>51</v>
      </c>
      <c r="E11" s="73" t="s">
        <v>24</v>
      </c>
      <c r="F11" s="74">
        <f>'Tresorerie autoconsomat'!H25</f>
        <v>1727.3379326192789</v>
      </c>
      <c r="H11" s="68"/>
    </row>
    <row r="12" spans="2:8" ht="18.75" customHeight="1">
      <c r="B12" s="69" t="s">
        <v>21</v>
      </c>
      <c r="C12" s="70" t="s">
        <v>52</v>
      </c>
      <c r="E12" s="73" t="s">
        <v>64</v>
      </c>
      <c r="F12" s="74">
        <f>'Calcul intérêts '!C10</f>
        <v>0</v>
      </c>
      <c r="H12" s="71"/>
    </row>
    <row r="13" spans="2:8" ht="18.75" customHeight="1">
      <c r="B13" s="113" t="s">
        <v>57</v>
      </c>
      <c r="C13" s="72">
        <v>0.15240000000000001</v>
      </c>
      <c r="E13" s="73" t="s">
        <v>25</v>
      </c>
      <c r="F13" s="74">
        <f>'Tresorerie autoconsomat'!I25</f>
        <v>3226.9077442706885</v>
      </c>
      <c r="H13" s="71"/>
    </row>
    <row r="14" spans="2:8" ht="18.75" customHeight="1">
      <c r="B14" s="113" t="s">
        <v>60</v>
      </c>
      <c r="C14" s="72">
        <v>0.01</v>
      </c>
      <c r="E14" s="73" t="s">
        <v>73</v>
      </c>
      <c r="F14" s="74">
        <v>0</v>
      </c>
    </row>
    <row r="15" spans="2:8" ht="18.75" customHeight="1">
      <c r="B15" s="57" t="s">
        <v>68</v>
      </c>
      <c r="C15" s="65">
        <f>14940/Puissance</f>
        <v>1676.7676767676767</v>
      </c>
      <c r="E15" s="77" t="s">
        <v>70</v>
      </c>
      <c r="F15" s="78">
        <f xml:space="preserve"> IF(F8&gt;0,(F10+F11+F13+F12+F14),(F10+F11+F12+F13))</f>
        <v>15118.245676889968</v>
      </c>
      <c r="H15" s="75"/>
    </row>
    <row r="16" spans="2:8" ht="18.75" customHeight="1">
      <c r="B16" s="57" t="s">
        <v>19</v>
      </c>
      <c r="C16" s="70">
        <v>0</v>
      </c>
      <c r="D16" s="55" t="s">
        <v>53</v>
      </c>
      <c r="E16" s="81" t="s">
        <v>62</v>
      </c>
      <c r="F16" s="82">
        <f>totalproduction</f>
        <v>169984.1241506314</v>
      </c>
      <c r="G16" s="103"/>
      <c r="H16" s="76"/>
    </row>
    <row r="17" spans="2:8" ht="18.75" customHeight="1">
      <c r="B17" s="79" t="s">
        <v>16</v>
      </c>
      <c r="C17" s="80">
        <v>1</v>
      </c>
      <c r="E17" s="81" t="s">
        <v>71</v>
      </c>
      <c r="F17" s="82">
        <f>totalproductionautoconsomme</f>
        <v>0</v>
      </c>
      <c r="H17" s="75"/>
    </row>
    <row r="18" spans="2:8" ht="18.75" customHeight="1">
      <c r="B18" s="69" t="s">
        <v>20</v>
      </c>
      <c r="C18" s="83">
        <v>0.01</v>
      </c>
      <c r="E18" s="81" t="s">
        <v>17</v>
      </c>
      <c r="F18" s="82">
        <f>totalproductionvendue</f>
        <v>169984.1241506314</v>
      </c>
      <c r="H18" s="111"/>
    </row>
    <row r="19" spans="2:8" ht="18.75" customHeight="1">
      <c r="B19" s="79" t="s">
        <v>23</v>
      </c>
      <c r="C19" s="84">
        <v>10</v>
      </c>
      <c r="D19" s="55" t="s">
        <v>39</v>
      </c>
      <c r="E19" s="81" t="s">
        <v>63</v>
      </c>
      <c r="F19" s="85">
        <f>totalventesurplus</f>
        <v>25905.580520556221</v>
      </c>
      <c r="H19" s="112"/>
    </row>
    <row r="20" spans="2:8" ht="18.75" customHeight="1">
      <c r="B20" s="57" t="s">
        <v>65</v>
      </c>
      <c r="C20" s="83">
        <v>5.0000000000000001E-3</v>
      </c>
      <c r="D20" s="55" t="s">
        <v>33</v>
      </c>
      <c r="E20" s="81" t="s">
        <v>74</v>
      </c>
      <c r="F20" s="85">
        <f>economieCSPE</f>
        <v>0</v>
      </c>
      <c r="H20" s="66"/>
    </row>
    <row r="21" spans="2:8" ht="18.75" customHeight="1">
      <c r="B21" s="105" t="s">
        <v>54</v>
      </c>
      <c r="C21" s="108">
        <f>5+1900/20/Puissance</f>
        <v>15.662177328843995</v>
      </c>
      <c r="E21" s="81" t="s">
        <v>75</v>
      </c>
      <c r="F21" s="85">
        <f>'Tresorerie autoconsomat'!N25</f>
        <v>0</v>
      </c>
    </row>
    <row r="22" spans="2:8" ht="18.75" customHeight="1">
      <c r="B22" s="106"/>
      <c r="C22" s="109"/>
      <c r="D22" s="86" t="s">
        <v>32</v>
      </c>
      <c r="E22" s="77" t="s">
        <v>72</v>
      </c>
      <c r="F22" s="87">
        <f>IF(C7=0,0,((couttotal)/productionautoconsomme))</f>
        <v>0</v>
      </c>
    </row>
    <row r="23" spans="2:8" ht="18.75" customHeight="1">
      <c r="B23" s="107"/>
      <c r="C23" s="110"/>
      <c r="E23" s="88" t="s">
        <v>61</v>
      </c>
      <c r="F23" s="89">
        <f>totalfluxdetresorerie</f>
        <v>10787.334843666256</v>
      </c>
    </row>
    <row r="24" spans="2:8" ht="18.75" customHeight="1">
      <c r="B24" s="57" t="s">
        <v>36</v>
      </c>
      <c r="C24" s="67">
        <v>1.4999999999999999E-2</v>
      </c>
      <c r="E24" s="115" t="s">
        <v>76</v>
      </c>
      <c r="F24" s="104"/>
    </row>
    <row r="25" spans="2:8" ht="18.75" customHeight="1">
      <c r="B25" s="101" t="s">
        <v>43</v>
      </c>
      <c r="C25" s="102">
        <v>0.02</v>
      </c>
      <c r="E25" s="116" t="s">
        <v>77</v>
      </c>
      <c r="H25" s="90"/>
    </row>
    <row r="26" spans="2:8">
      <c r="E26" s="116" t="s">
        <v>78</v>
      </c>
    </row>
    <row r="27" spans="2:8">
      <c r="D27" s="54"/>
    </row>
    <row r="28" spans="2:8">
      <c r="D28" s="54"/>
    </row>
    <row r="40" spans="3:28">
      <c r="E40" s="93"/>
      <c r="F40" s="92"/>
    </row>
    <row r="41" spans="3:28">
      <c r="E41" s="95"/>
      <c r="F41" s="54"/>
    </row>
    <row r="42" spans="3:28">
      <c r="D42" s="91"/>
      <c r="E42" s="95"/>
      <c r="F42" s="54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</row>
    <row r="43" spans="3:28">
      <c r="C43" s="96"/>
      <c r="D43" s="9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spans="3:28">
      <c r="C44" s="96"/>
      <c r="D44" s="9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9" spans="3:3">
      <c r="C49" s="92"/>
    </row>
    <row r="50" spans="3:3">
      <c r="C50" s="92"/>
    </row>
  </sheetData>
  <sheetProtection selectLockedCells="1"/>
  <mergeCells count="3">
    <mergeCell ref="B2:F3"/>
    <mergeCell ref="E5:E6"/>
    <mergeCell ref="F5:F6"/>
  </mergeCells>
  <phoneticPr fontId="1" type="noConversion"/>
  <conditionalFormatting sqref="C12">
    <cfRule type="cellIs" dxfId="21" priority="10" stopIfTrue="1" operator="equal">
      <formula>"non"</formula>
    </cfRule>
  </conditionalFormatting>
  <conditionalFormatting sqref="C12">
    <cfRule type="cellIs" dxfId="20" priority="6" operator="equal">
      <formula>"oui"</formula>
    </cfRule>
    <cfRule type="containsText" dxfId="19" priority="9" operator="containsText" text="non">
      <formula>NOT(ISERROR(SEARCH("non",C12)))</formula>
    </cfRule>
  </conditionalFormatting>
  <conditionalFormatting sqref="C11">
    <cfRule type="cellIs" dxfId="18" priority="1" operator="equal">
      <formula>"oui"</formula>
    </cfRule>
    <cfRule type="containsText" dxfId="17" priority="2" operator="containsText" text="non">
      <formula>NOT(ISERROR(SEARCH("non",C11)))</formula>
    </cfRule>
  </conditionalFormatting>
  <conditionalFormatting sqref="C11">
    <cfRule type="cellIs" dxfId="16" priority="3" stopIfTrue="1" operator="equal">
      <formula>"non"</formula>
    </cfRule>
  </conditionalFormatting>
  <pageMargins left="0.25" right="0.25" top="0.75" bottom="0.75" header="0.3" footer="0.3"/>
  <pageSetup paperSize="8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U28"/>
  <sheetViews>
    <sheetView showOutlineSymbols="0" zoomScale="78" zoomScaleNormal="64" workbookViewId="0">
      <pane ySplit="3" topLeftCell="A4" activePane="bottomLeft" state="frozen"/>
      <selection pane="bottomLeft" activeCell="I5" sqref="I5"/>
    </sheetView>
  </sheetViews>
  <sheetFormatPr baseColWidth="10" defaultColWidth="11.42578125" defaultRowHeight="15" outlineLevelRow="1" outlineLevelCol="2"/>
  <cols>
    <col min="1" max="1" width="2.5703125" style="5" customWidth="1"/>
    <col min="2" max="2" width="15.7109375" style="5" customWidth="1"/>
    <col min="3" max="3" width="14.140625" style="5" customWidth="1"/>
    <col min="4" max="4" width="6.5703125" style="5" bestFit="1" customWidth="1"/>
    <col min="5" max="5" width="15" style="6" customWidth="1" outlineLevel="2"/>
    <col min="6" max="6" width="14.5703125" style="6" customWidth="1" outlineLevel="2"/>
    <col min="7" max="7" width="14.5703125" style="6" customWidth="1" outlineLevel="1"/>
    <col min="8" max="8" width="14.85546875" style="5" bestFit="1" customWidth="1" outlineLevel="2"/>
    <col min="9" max="9" width="16.85546875" style="5" customWidth="1" outlineLevel="2"/>
    <col min="10" max="10" width="18" style="5" customWidth="1" outlineLevel="2"/>
    <col min="11" max="11" width="12.5703125" style="5" customWidth="1" outlineLevel="1"/>
    <col min="12" max="12" width="11.42578125" style="5" outlineLevel="1"/>
    <col min="13" max="13" width="14" style="5" customWidth="1" outlineLevel="1"/>
    <col min="14" max="14" width="15.85546875" style="5" customWidth="1" outlineLevel="1"/>
    <col min="15" max="15" width="15.140625" style="5" customWidth="1" outlineLevel="1"/>
    <col min="16" max="17" width="11.42578125" style="14" outlineLevel="1"/>
    <col min="18" max="18" width="13.28515625" style="5" bestFit="1" customWidth="1" outlineLevel="1"/>
    <col min="19" max="19" width="14.5703125" style="5" customWidth="1"/>
    <col min="20" max="16384" width="11.42578125" style="5"/>
  </cols>
  <sheetData>
    <row r="1" spans="2:21" ht="6.75" customHeight="1" thickBot="1"/>
    <row r="2" spans="2:21" ht="96" customHeight="1" thickBot="1">
      <c r="B2" s="44" t="s">
        <v>9</v>
      </c>
      <c r="C2" s="45" t="s">
        <v>10</v>
      </c>
      <c r="D2" s="45" t="s">
        <v>11</v>
      </c>
      <c r="E2" s="46" t="s">
        <v>50</v>
      </c>
      <c r="F2" s="46" t="s">
        <v>13</v>
      </c>
      <c r="G2" s="46" t="s">
        <v>49</v>
      </c>
      <c r="H2" s="47" t="s">
        <v>26</v>
      </c>
      <c r="I2" s="47" t="s">
        <v>29</v>
      </c>
      <c r="J2" s="47" t="s">
        <v>37</v>
      </c>
      <c r="K2" s="48" t="s">
        <v>12</v>
      </c>
      <c r="L2" s="47" t="s">
        <v>27</v>
      </c>
      <c r="M2" s="47" t="s">
        <v>45</v>
      </c>
      <c r="N2" s="47" t="s">
        <v>46</v>
      </c>
      <c r="O2" s="47" t="s">
        <v>59</v>
      </c>
      <c r="P2" s="49" t="s">
        <v>55</v>
      </c>
      <c r="Q2" s="49" t="s">
        <v>56</v>
      </c>
      <c r="R2" s="47" t="s">
        <v>58</v>
      </c>
      <c r="S2" s="50" t="s">
        <v>28</v>
      </c>
    </row>
    <row r="3" spans="2:21" s="12" customFormat="1" ht="21" customHeight="1">
      <c r="B3" s="8"/>
      <c r="C3" s="9"/>
      <c r="D3" s="10"/>
      <c r="E3" s="11"/>
      <c r="F3" s="36">
        <f>autoconso</f>
        <v>0</v>
      </c>
      <c r="G3" s="13"/>
      <c r="H3" s="30">
        <f>assurances</f>
        <v>5.0000000000000001E-3</v>
      </c>
      <c r="I3" s="51">
        <f>maintenance*Puissance</f>
        <v>139.55000000000001</v>
      </c>
      <c r="J3" s="31">
        <f>totalannualités</f>
        <v>0</v>
      </c>
      <c r="K3" s="32"/>
      <c r="L3" s="32">
        <f>kwhreseau</f>
        <v>0.12</v>
      </c>
      <c r="M3" s="33" t="s">
        <v>44</v>
      </c>
      <c r="N3" s="33" t="s">
        <v>47</v>
      </c>
      <c r="O3" s="34"/>
      <c r="P3" s="52">
        <f>tarifachat</f>
        <v>0.15240000000000001</v>
      </c>
      <c r="Q3" s="52">
        <v>0.06</v>
      </c>
      <c r="R3" s="31">
        <f>totalventesurplus</f>
        <v>25905.580520556221</v>
      </c>
      <c r="S3" s="33"/>
    </row>
    <row r="4" spans="2:21" s="12" customFormat="1" ht="21" customHeight="1">
      <c r="B4" s="100" t="s">
        <v>41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98">
        <f>IF(autofinacement=100,(-totalinvestissementavecsub),-(totalinvestissementavecsub*autofinacement))</f>
        <v>-10164</v>
      </c>
    </row>
    <row r="5" spans="2:21" ht="17.25" customHeight="1" outlineLevel="1">
      <c r="B5" s="35">
        <v>1</v>
      </c>
      <c r="C5" s="18">
        <f t="shared" ref="C5:C24" si="0">Puissance*production</f>
        <v>8910</v>
      </c>
      <c r="D5" s="19" t="b">
        <v>1</v>
      </c>
      <c r="E5" s="20">
        <f>C5</f>
        <v>8910</v>
      </c>
      <c r="F5" s="20">
        <f t="shared" ref="F5:F24" si="1">E5*autoconso</f>
        <v>0</v>
      </c>
      <c r="G5" s="20">
        <f>IF(vente="oui",('Tresorerie autoconsomat'!E5-'Tresorerie autoconsomat'!F5),E5)</f>
        <v>8910</v>
      </c>
      <c r="H5" s="22">
        <f>coutinstallation*assurances</f>
        <v>74.7</v>
      </c>
      <c r="I5" s="22">
        <f>maintenance*Puissance</f>
        <v>139.55000000000001</v>
      </c>
      <c r="J5" s="22">
        <f>'Calcul intérêts '!$C$12</f>
        <v>0</v>
      </c>
      <c r="K5" s="23">
        <f>SUM(H5:J5)</f>
        <v>214.25</v>
      </c>
      <c r="L5" s="25">
        <f>L3</f>
        <v>0.12</v>
      </c>
      <c r="M5" s="24">
        <f>F5*(22.5/1000)</f>
        <v>0</v>
      </c>
      <c r="N5" s="24">
        <f>F5*(9.6/1000)</f>
        <v>0</v>
      </c>
      <c r="O5" s="29">
        <f>IF(AND(vente="oui",Hypothèses!$C$11="non"),((L5*F5))+(M5+N5),0)</f>
        <v>0</v>
      </c>
      <c r="P5" s="26">
        <f>tarifachat</f>
        <v>0.15240000000000001</v>
      </c>
      <c r="Q5" s="26">
        <f>Q3</f>
        <v>0.06</v>
      </c>
      <c r="R5" s="27">
        <f>IF(Hypothèses!$C$11="OUI",'Tresorerie autoconsomat'!E5*'Tresorerie autoconsomat'!P5,Q5*G5)</f>
        <v>1357.884</v>
      </c>
      <c r="S5" s="28">
        <f>(S4+(R5+O5))-K5</f>
        <v>-9020.366</v>
      </c>
      <c r="U5" s="114"/>
    </row>
    <row r="6" spans="2:21" ht="17.25" customHeight="1" outlineLevel="1">
      <c r="B6" s="35">
        <v>2</v>
      </c>
      <c r="C6" s="18">
        <f t="shared" si="0"/>
        <v>8910</v>
      </c>
      <c r="D6" s="21">
        <f>IF($D$5=TRUE,0.5%,0)</f>
        <v>5.0000000000000001E-3</v>
      </c>
      <c r="E6" s="20">
        <f>E5*(1-D6)</f>
        <v>8865.4500000000007</v>
      </c>
      <c r="F6" s="20">
        <f t="shared" si="1"/>
        <v>0</v>
      </c>
      <c r="G6" s="20">
        <f>IF(vente="oui",('Tresorerie autoconsomat'!E6-'Tresorerie autoconsomat'!F6),E6)</f>
        <v>8865.4500000000007</v>
      </c>
      <c r="H6" s="22">
        <f t="shared" ref="H6:H24" si="2">H5+(H5*inflation)</f>
        <v>75.82050000000001</v>
      </c>
      <c r="I6" s="22">
        <f t="shared" ref="I6:I24" si="3">I5+(I5*inflation)</f>
        <v>141.64325000000002</v>
      </c>
      <c r="J6" s="22">
        <f>'Calcul intérêts '!$C$12</f>
        <v>0</v>
      </c>
      <c r="K6" s="23">
        <f t="shared" ref="K6:K24" si="4">SUM(H6:J6)</f>
        <v>217.46375000000003</v>
      </c>
      <c r="L6" s="25">
        <f t="shared" ref="L6:L24" si="5">L5+($L5*inflationelec)</f>
        <v>0.1236</v>
      </c>
      <c r="M6" s="24">
        <f>F6*(22.5/1000)</f>
        <v>0</v>
      </c>
      <c r="N6" s="24">
        <f t="shared" ref="N6:N24" si="6">F6*(9.6/1000)</f>
        <v>0</v>
      </c>
      <c r="O6" s="29">
        <f>IF(AND(vente="oui",Hypothèses!$C$11="non"),((L6*F6))+(M6+N6),0)</f>
        <v>0</v>
      </c>
      <c r="P6" s="26">
        <f>P5</f>
        <v>0.15240000000000001</v>
      </c>
      <c r="Q6" s="26">
        <f>Q5*1.01</f>
        <v>6.0600000000000001E-2</v>
      </c>
      <c r="R6" s="27">
        <f>IF(Hypothèses!$C$11="OUI",'Tresorerie autoconsomat'!E6*'Tresorerie autoconsomat'!P6,Q6*G6)</f>
        <v>1351.0945800000002</v>
      </c>
      <c r="S6" s="28">
        <f t="shared" ref="S6:S24" si="7">(S5+(R6+O6))-K6</f>
        <v>-7886.7351699999999</v>
      </c>
      <c r="U6" s="114"/>
    </row>
    <row r="7" spans="2:21" ht="17.25" customHeight="1" outlineLevel="1">
      <c r="B7" s="35">
        <v>3</v>
      </c>
      <c r="C7" s="18">
        <f t="shared" si="0"/>
        <v>8910</v>
      </c>
      <c r="D7" s="21">
        <f t="shared" ref="D7:D24" si="8">IF($D$5=TRUE,0.5%,0)</f>
        <v>5.0000000000000001E-3</v>
      </c>
      <c r="E7" s="20">
        <f t="shared" ref="E7:E24" si="9">E6*(1-D7)</f>
        <v>8821.1227500000005</v>
      </c>
      <c r="F7" s="20">
        <f t="shared" si="1"/>
        <v>0</v>
      </c>
      <c r="G7" s="20">
        <f>IF(vente="oui",('Tresorerie autoconsomat'!E7-'Tresorerie autoconsomat'!F7),E7)</f>
        <v>8821.1227500000005</v>
      </c>
      <c r="H7" s="22">
        <f t="shared" si="2"/>
        <v>76.957807500000015</v>
      </c>
      <c r="I7" s="22">
        <f t="shared" si="3"/>
        <v>143.76789875000003</v>
      </c>
      <c r="J7" s="22">
        <f>'Calcul intérêts '!$C$12</f>
        <v>0</v>
      </c>
      <c r="K7" s="23">
        <f t="shared" si="4"/>
        <v>220.72570625000003</v>
      </c>
      <c r="L7" s="25">
        <f t="shared" si="5"/>
        <v>0.127308</v>
      </c>
      <c r="M7" s="24">
        <f t="shared" ref="M7:M24" si="10">F7*(22.5/1000)</f>
        <v>0</v>
      </c>
      <c r="N7" s="24">
        <f t="shared" si="6"/>
        <v>0</v>
      </c>
      <c r="O7" s="29">
        <f>IF(AND(vente="oui",Hypothèses!$C$11="non"),((L7*F7))+(M7+N7),0)</f>
        <v>0</v>
      </c>
      <c r="P7" s="26">
        <f t="shared" ref="P7:P24" si="11">P6</f>
        <v>0.15240000000000001</v>
      </c>
      <c r="Q7" s="26">
        <f t="shared" ref="Q7:Q23" si="12">Q6*1.01</f>
        <v>6.1206000000000003E-2</v>
      </c>
      <c r="R7" s="27">
        <f>IF(Hypothèses!$C$11="OUI",'Tresorerie autoconsomat'!E7*'Tresorerie autoconsomat'!P7,Q7*G7)</f>
        <v>1344.3391071000001</v>
      </c>
      <c r="S7" s="28">
        <f t="shared" si="7"/>
        <v>-6763.1217691499996</v>
      </c>
      <c r="U7" s="114"/>
    </row>
    <row r="8" spans="2:21" ht="17.25" customHeight="1" outlineLevel="1">
      <c r="B8" s="35">
        <v>4</v>
      </c>
      <c r="C8" s="18">
        <f t="shared" si="0"/>
        <v>8910</v>
      </c>
      <c r="D8" s="21">
        <f t="shared" si="8"/>
        <v>5.0000000000000001E-3</v>
      </c>
      <c r="E8" s="20">
        <f t="shared" si="9"/>
        <v>8777.0171362500005</v>
      </c>
      <c r="F8" s="20">
        <f t="shared" si="1"/>
        <v>0</v>
      </c>
      <c r="G8" s="20">
        <f>IF(vente="oui",('Tresorerie autoconsomat'!E8-'Tresorerie autoconsomat'!F8),E8)</f>
        <v>8777.0171362500005</v>
      </c>
      <c r="H8" s="22">
        <f t="shared" si="2"/>
        <v>78.112174612500013</v>
      </c>
      <c r="I8" s="22">
        <f t="shared" si="3"/>
        <v>145.92441723125003</v>
      </c>
      <c r="J8" s="22">
        <f>'Calcul intérêts '!$C$12</f>
        <v>0</v>
      </c>
      <c r="K8" s="23">
        <f t="shared" si="4"/>
        <v>224.03659184375005</v>
      </c>
      <c r="L8" s="25">
        <f t="shared" si="5"/>
        <v>0.13112724000000001</v>
      </c>
      <c r="M8" s="24">
        <f t="shared" si="10"/>
        <v>0</v>
      </c>
      <c r="N8" s="24">
        <f t="shared" si="6"/>
        <v>0</v>
      </c>
      <c r="O8" s="29">
        <f>IF(AND(vente="oui",Hypothèses!$C$11="non"),((L8*F8))+(M8+N8),0)</f>
        <v>0</v>
      </c>
      <c r="P8" s="26">
        <f t="shared" si="11"/>
        <v>0.15240000000000001</v>
      </c>
      <c r="Q8" s="26">
        <f t="shared" si="12"/>
        <v>6.1818060000000001E-2</v>
      </c>
      <c r="R8" s="27">
        <f>IF(Hypothèses!$C$11="OUI",'Tresorerie autoconsomat'!E8*'Tresorerie autoconsomat'!P8,Q8*G8)</f>
        <v>1337.6174115645001</v>
      </c>
      <c r="S8" s="28">
        <f t="shared" si="7"/>
        <v>-5649.5409494292498</v>
      </c>
      <c r="U8" s="114"/>
    </row>
    <row r="9" spans="2:21" ht="17.25" customHeight="1" outlineLevel="1">
      <c r="B9" s="35">
        <v>5</v>
      </c>
      <c r="C9" s="18">
        <f t="shared" si="0"/>
        <v>8910</v>
      </c>
      <c r="D9" s="21">
        <f t="shared" si="8"/>
        <v>5.0000000000000001E-3</v>
      </c>
      <c r="E9" s="20">
        <f t="shared" si="9"/>
        <v>8733.1320505687509</v>
      </c>
      <c r="F9" s="20">
        <f t="shared" si="1"/>
        <v>0</v>
      </c>
      <c r="G9" s="20">
        <f>IF(vente="oui",('Tresorerie autoconsomat'!E9-'Tresorerie autoconsomat'!F9),E9)</f>
        <v>8733.1320505687509</v>
      </c>
      <c r="H9" s="22">
        <f t="shared" si="2"/>
        <v>79.283857231687506</v>
      </c>
      <c r="I9" s="22">
        <f t="shared" si="3"/>
        <v>148.11328348971878</v>
      </c>
      <c r="J9" s="22">
        <f>'Calcul intérêts '!$C$12</f>
        <v>0</v>
      </c>
      <c r="K9" s="23">
        <f t="shared" si="4"/>
        <v>227.39714072140629</v>
      </c>
      <c r="L9" s="25">
        <f t="shared" si="5"/>
        <v>0.1350610572</v>
      </c>
      <c r="M9" s="24">
        <f t="shared" si="10"/>
        <v>0</v>
      </c>
      <c r="N9" s="24">
        <f t="shared" si="6"/>
        <v>0</v>
      </c>
      <c r="O9" s="29">
        <f>IF(AND(vente="oui",Hypothèses!$C$11="non"),((L9*F9))+(M9+N9),0)</f>
        <v>0</v>
      </c>
      <c r="P9" s="26">
        <f t="shared" si="11"/>
        <v>0.15240000000000001</v>
      </c>
      <c r="Q9" s="26">
        <f t="shared" si="12"/>
        <v>6.2436240600000005E-2</v>
      </c>
      <c r="R9" s="27">
        <f>IF(Hypothèses!$C$11="OUI",'Tresorerie autoconsomat'!E9*'Tresorerie autoconsomat'!P9,Q9*G9)</f>
        <v>1330.9293245066776</v>
      </c>
      <c r="S9" s="28">
        <f t="shared" si="7"/>
        <v>-4546.0087656439791</v>
      </c>
      <c r="U9" s="114"/>
    </row>
    <row r="10" spans="2:21" ht="17.25" customHeight="1" outlineLevel="1">
      <c r="B10" s="35">
        <v>6</v>
      </c>
      <c r="C10" s="18">
        <f t="shared" si="0"/>
        <v>8910</v>
      </c>
      <c r="D10" s="21">
        <f t="shared" si="8"/>
        <v>5.0000000000000001E-3</v>
      </c>
      <c r="E10" s="20">
        <f t="shared" si="9"/>
        <v>8689.4663903159071</v>
      </c>
      <c r="F10" s="20">
        <f t="shared" si="1"/>
        <v>0</v>
      </c>
      <c r="G10" s="20">
        <f>IF(vente="oui",('Tresorerie autoconsomat'!E10-'Tresorerie autoconsomat'!F10),E10)</f>
        <v>8689.4663903159071</v>
      </c>
      <c r="H10" s="22">
        <f t="shared" si="2"/>
        <v>80.473115090162821</v>
      </c>
      <c r="I10" s="22">
        <f t="shared" si="3"/>
        <v>150.33498274206457</v>
      </c>
      <c r="J10" s="22">
        <f>'Calcul intérêts '!$C$12</f>
        <v>0</v>
      </c>
      <c r="K10" s="23">
        <f t="shared" si="4"/>
        <v>230.80809783222739</v>
      </c>
      <c r="L10" s="25">
        <f t="shared" si="5"/>
        <v>0.13911288891599999</v>
      </c>
      <c r="M10" s="24">
        <f t="shared" si="10"/>
        <v>0</v>
      </c>
      <c r="N10" s="24">
        <f t="shared" si="6"/>
        <v>0</v>
      </c>
      <c r="O10" s="29">
        <f>IF(AND(vente="oui",Hypothèses!$C$11="non"),((L10*F10))+(M10+N10),0)</f>
        <v>0</v>
      </c>
      <c r="P10" s="26">
        <f t="shared" si="11"/>
        <v>0.15240000000000001</v>
      </c>
      <c r="Q10" s="26">
        <f t="shared" si="12"/>
        <v>6.3060603005999999E-2</v>
      </c>
      <c r="R10" s="27">
        <f>IF(Hypothèses!$C$11="OUI",'Tresorerie autoconsomat'!E10*'Tresorerie autoconsomat'!P10,Q10*G10)</f>
        <v>1324.2746778841442</v>
      </c>
      <c r="S10" s="28">
        <f t="shared" si="7"/>
        <v>-3452.5421855920622</v>
      </c>
      <c r="U10" s="114"/>
    </row>
    <row r="11" spans="2:21" ht="17.25" customHeight="1" outlineLevel="1">
      <c r="B11" s="35">
        <v>7</v>
      </c>
      <c r="C11" s="18">
        <f t="shared" si="0"/>
        <v>8910</v>
      </c>
      <c r="D11" s="21">
        <f t="shared" si="8"/>
        <v>5.0000000000000001E-3</v>
      </c>
      <c r="E11" s="20">
        <f t="shared" si="9"/>
        <v>8646.0190583643271</v>
      </c>
      <c r="F11" s="20">
        <f t="shared" si="1"/>
        <v>0</v>
      </c>
      <c r="G11" s="20">
        <f>IF(vente="oui",('Tresorerie autoconsomat'!E11-'Tresorerie autoconsomat'!F11),E11)</f>
        <v>8646.0190583643271</v>
      </c>
      <c r="H11" s="22">
        <f t="shared" si="2"/>
        <v>81.680211816515268</v>
      </c>
      <c r="I11" s="22">
        <f t="shared" si="3"/>
        <v>152.59000748319554</v>
      </c>
      <c r="J11" s="22">
        <f>'Calcul intérêts '!$C$12</f>
        <v>0</v>
      </c>
      <c r="K11" s="23">
        <f t="shared" si="4"/>
        <v>234.27021929971079</v>
      </c>
      <c r="L11" s="25">
        <f t="shared" si="5"/>
        <v>0.14328627558347998</v>
      </c>
      <c r="M11" s="24">
        <f t="shared" si="10"/>
        <v>0</v>
      </c>
      <c r="N11" s="24">
        <f t="shared" si="6"/>
        <v>0</v>
      </c>
      <c r="O11" s="29">
        <f>IF(AND(vente="oui",Hypothèses!$C$11="non"),((L11*F11))+(M11+N11),0)</f>
        <v>0</v>
      </c>
      <c r="P11" s="26">
        <f t="shared" si="11"/>
        <v>0.15240000000000001</v>
      </c>
      <c r="Q11" s="26">
        <f>Q10*1.01</f>
        <v>6.3691209036060001E-2</v>
      </c>
      <c r="R11" s="27">
        <f>IF(Hypothèses!$C$11="OUI",'Tresorerie autoconsomat'!E11*'Tresorerie autoconsomat'!P11,Q11*G11)</f>
        <v>1317.6533044947234</v>
      </c>
      <c r="S11" s="28">
        <f t="shared" si="7"/>
        <v>-2369.1591003970493</v>
      </c>
      <c r="U11" s="114"/>
    </row>
    <row r="12" spans="2:21" ht="17.25" customHeight="1" outlineLevel="1">
      <c r="B12" s="35">
        <v>8</v>
      </c>
      <c r="C12" s="18">
        <f t="shared" si="0"/>
        <v>8910</v>
      </c>
      <c r="D12" s="21">
        <f t="shared" si="8"/>
        <v>5.0000000000000001E-3</v>
      </c>
      <c r="E12" s="20">
        <f t="shared" si="9"/>
        <v>8602.7889630725058</v>
      </c>
      <c r="F12" s="20">
        <f t="shared" si="1"/>
        <v>0</v>
      </c>
      <c r="G12" s="20">
        <f>IF(vente="oui",('Tresorerie autoconsomat'!E12-'Tresorerie autoconsomat'!F12),E12)</f>
        <v>8602.7889630725058</v>
      </c>
      <c r="H12" s="22">
        <f t="shared" si="2"/>
        <v>82.905414993763003</v>
      </c>
      <c r="I12" s="22">
        <f t="shared" si="3"/>
        <v>154.87885759544346</v>
      </c>
      <c r="J12" s="22">
        <f>'Calcul intérêts '!$C$12</f>
        <v>0</v>
      </c>
      <c r="K12" s="23">
        <f t="shared" si="4"/>
        <v>237.78427258920647</v>
      </c>
      <c r="L12" s="25">
        <f t="shared" si="5"/>
        <v>0.14758486385098438</v>
      </c>
      <c r="M12" s="24">
        <f t="shared" si="10"/>
        <v>0</v>
      </c>
      <c r="N12" s="24">
        <f t="shared" si="6"/>
        <v>0</v>
      </c>
      <c r="O12" s="29">
        <f>IF(AND(vente="oui",Hypothèses!$C$11="non"),((L12*F12))+(M12+N12),0)</f>
        <v>0</v>
      </c>
      <c r="P12" s="26">
        <f t="shared" si="11"/>
        <v>0.15240000000000001</v>
      </c>
      <c r="Q12" s="26">
        <f>Q11*1.01</f>
        <v>6.4328121126420598E-2</v>
      </c>
      <c r="R12" s="27">
        <f>IF(Hypothèses!$C$11="OUI",'Tresorerie autoconsomat'!E12*'Tresorerie autoconsomat'!P12,Q12*G12)</f>
        <v>1311.0650379722499</v>
      </c>
      <c r="S12" s="28">
        <f t="shared" si="7"/>
        <v>-1295.8783350140059</v>
      </c>
      <c r="U12" s="114"/>
    </row>
    <row r="13" spans="2:21" ht="17.25" customHeight="1" outlineLevel="1">
      <c r="B13" s="35">
        <v>9</v>
      </c>
      <c r="C13" s="18">
        <f t="shared" si="0"/>
        <v>8910</v>
      </c>
      <c r="D13" s="21">
        <f t="shared" si="8"/>
        <v>5.0000000000000001E-3</v>
      </c>
      <c r="E13" s="20">
        <f t="shared" si="9"/>
        <v>8559.7750182571435</v>
      </c>
      <c r="F13" s="20">
        <f t="shared" si="1"/>
        <v>0</v>
      </c>
      <c r="G13" s="20">
        <f>IF(vente="oui",('Tresorerie autoconsomat'!E13-'Tresorerie autoconsomat'!F13),E13)</f>
        <v>8559.7750182571435</v>
      </c>
      <c r="H13" s="22">
        <f t="shared" si="2"/>
        <v>84.148996218669453</v>
      </c>
      <c r="I13" s="22">
        <f t="shared" si="3"/>
        <v>157.20204045937513</v>
      </c>
      <c r="J13" s="22">
        <f>'Calcul intérêts '!$C$12</f>
        <v>0</v>
      </c>
      <c r="K13" s="23">
        <f t="shared" si="4"/>
        <v>241.35103667804458</v>
      </c>
      <c r="L13" s="25">
        <f t="shared" si="5"/>
        <v>0.1520124097665139</v>
      </c>
      <c r="M13" s="24">
        <f t="shared" si="10"/>
        <v>0</v>
      </c>
      <c r="N13" s="24">
        <f t="shared" si="6"/>
        <v>0</v>
      </c>
      <c r="O13" s="29">
        <f>IF(AND(vente="oui",Hypothèses!$C$11="non"),((L13*F13))+(M13+N13),0)</f>
        <v>0</v>
      </c>
      <c r="P13" s="26">
        <f t="shared" si="11"/>
        <v>0.15240000000000001</v>
      </c>
      <c r="Q13" s="26">
        <f t="shared" si="12"/>
        <v>6.4971402337684808E-2</v>
      </c>
      <c r="R13" s="27">
        <f>IF(Hypothèses!$C$11="OUI",'Tresorerie autoconsomat'!E13*'Tresorerie autoconsomat'!P13,Q13*G13)</f>
        <v>1304.5097127823888</v>
      </c>
      <c r="S13" s="28">
        <f t="shared" si="7"/>
        <v>-232.71965890966169</v>
      </c>
      <c r="U13" s="114"/>
    </row>
    <row r="14" spans="2:21" ht="17.25" customHeight="1" outlineLevel="1">
      <c r="B14" s="35">
        <v>10</v>
      </c>
      <c r="C14" s="18">
        <f t="shared" si="0"/>
        <v>8910</v>
      </c>
      <c r="D14" s="21">
        <f t="shared" si="8"/>
        <v>5.0000000000000001E-3</v>
      </c>
      <c r="E14" s="20">
        <f t="shared" si="9"/>
        <v>8516.9761431658571</v>
      </c>
      <c r="F14" s="20">
        <f t="shared" si="1"/>
        <v>0</v>
      </c>
      <c r="G14" s="20">
        <f>IF(vente="oui",('Tresorerie autoconsomat'!E14-'Tresorerie autoconsomat'!F14),E14)</f>
        <v>8516.9761431658571</v>
      </c>
      <c r="H14" s="22">
        <f t="shared" si="2"/>
        <v>85.411231161949488</v>
      </c>
      <c r="I14" s="22">
        <f t="shared" si="3"/>
        <v>159.56007106626575</v>
      </c>
      <c r="J14" s="22">
        <f>'Calcul intérêts '!$C$12</f>
        <v>0</v>
      </c>
      <c r="K14" s="23">
        <f t="shared" si="4"/>
        <v>244.97130222821522</v>
      </c>
      <c r="L14" s="25">
        <f t="shared" si="5"/>
        <v>0.15657278205950931</v>
      </c>
      <c r="M14" s="24">
        <f t="shared" si="10"/>
        <v>0</v>
      </c>
      <c r="N14" s="24">
        <f t="shared" si="6"/>
        <v>0</v>
      </c>
      <c r="O14" s="29">
        <f>IF(AND(vente="oui",Hypothèses!$C$11="non"),((L14*F14))+(M14+N14),0)</f>
        <v>0</v>
      </c>
      <c r="P14" s="26">
        <f t="shared" si="11"/>
        <v>0.15240000000000001</v>
      </c>
      <c r="Q14" s="26">
        <f t="shared" si="12"/>
        <v>6.562111636106166E-2</v>
      </c>
      <c r="R14" s="27">
        <f>IF(Hypothèses!$C$11="OUI",'Tresorerie autoconsomat'!E14*'Tresorerie autoconsomat'!P14,Q14*G14)</f>
        <v>1297.9871642184767</v>
      </c>
      <c r="S14" s="28">
        <f t="shared" si="7"/>
        <v>820.29620308059987</v>
      </c>
      <c r="U14" s="114"/>
    </row>
    <row r="15" spans="2:21" ht="17.25" customHeight="1" outlineLevel="1">
      <c r="B15" s="35">
        <v>11</v>
      </c>
      <c r="C15" s="18">
        <f t="shared" si="0"/>
        <v>8910</v>
      </c>
      <c r="D15" s="21">
        <f t="shared" si="8"/>
        <v>5.0000000000000001E-3</v>
      </c>
      <c r="E15" s="20">
        <f t="shared" si="9"/>
        <v>8474.3912624500281</v>
      </c>
      <c r="F15" s="20">
        <f t="shared" si="1"/>
        <v>0</v>
      </c>
      <c r="G15" s="20">
        <f>IF(vente="oui",('Tresorerie autoconsomat'!E15-'Tresorerie autoconsomat'!F15),E15)</f>
        <v>8474.3912624500281</v>
      </c>
      <c r="H15" s="22">
        <f t="shared" si="2"/>
        <v>86.692399629378727</v>
      </c>
      <c r="I15" s="22">
        <f t="shared" si="3"/>
        <v>161.95347213225975</v>
      </c>
      <c r="J15" s="22">
        <f>'Calcul intérêts '!$C$12</f>
        <v>0</v>
      </c>
      <c r="K15" s="23">
        <f t="shared" si="4"/>
        <v>248.64587176163849</v>
      </c>
      <c r="L15" s="25">
        <f t="shared" si="5"/>
        <v>0.16126996552129458</v>
      </c>
      <c r="M15" s="24">
        <f t="shared" si="10"/>
        <v>0</v>
      </c>
      <c r="N15" s="24">
        <f t="shared" si="6"/>
        <v>0</v>
      </c>
      <c r="O15" s="29">
        <f>IF(AND(vente="oui",Hypothèses!$C$11="non"),((L15*F15))+(M15+N15),0)</f>
        <v>0</v>
      </c>
      <c r="P15" s="26">
        <f t="shared" si="11"/>
        <v>0.15240000000000001</v>
      </c>
      <c r="Q15" s="26">
        <f t="shared" si="12"/>
        <v>6.6277327524672275E-2</v>
      </c>
      <c r="R15" s="27">
        <f>IF(Hypothèses!$C$11="OUI",'Tresorerie autoconsomat'!E15*'Tresorerie autoconsomat'!P15,Q15*G15)</f>
        <v>1291.4972283973843</v>
      </c>
      <c r="S15" s="28">
        <f t="shared" si="7"/>
        <v>1863.1475597163455</v>
      </c>
      <c r="U15" s="114"/>
    </row>
    <row r="16" spans="2:21" ht="17.25" customHeight="1" outlineLevel="1">
      <c r="B16" s="35">
        <v>12</v>
      </c>
      <c r="C16" s="18">
        <f t="shared" si="0"/>
        <v>8910</v>
      </c>
      <c r="D16" s="21">
        <f t="shared" si="8"/>
        <v>5.0000000000000001E-3</v>
      </c>
      <c r="E16" s="20">
        <f t="shared" si="9"/>
        <v>8432.0193061377777</v>
      </c>
      <c r="F16" s="20">
        <f t="shared" si="1"/>
        <v>0</v>
      </c>
      <c r="G16" s="20">
        <f>IF(vente="oui",('Tresorerie autoconsomat'!E16-'Tresorerie autoconsomat'!F16),E16)</f>
        <v>8432.0193061377777</v>
      </c>
      <c r="H16" s="22">
        <f t="shared" si="2"/>
        <v>87.992785623819401</v>
      </c>
      <c r="I16" s="22">
        <f t="shared" si="3"/>
        <v>164.38277421424365</v>
      </c>
      <c r="J16" s="22">
        <f>'Calcul intérêts '!$C$12</f>
        <v>0</v>
      </c>
      <c r="K16" s="23">
        <f t="shared" si="4"/>
        <v>252.37555983806305</v>
      </c>
      <c r="L16" s="25">
        <f t="shared" si="5"/>
        <v>0.16610806448693341</v>
      </c>
      <c r="M16" s="24">
        <f t="shared" si="10"/>
        <v>0</v>
      </c>
      <c r="N16" s="24">
        <f t="shared" si="6"/>
        <v>0</v>
      </c>
      <c r="O16" s="29">
        <f>IF(AND(vente="oui",Hypothèses!$C$11="non"),((L16*F16))+(M16+N16),0)</f>
        <v>0</v>
      </c>
      <c r="P16" s="26">
        <f t="shared" si="11"/>
        <v>0.15240000000000001</v>
      </c>
      <c r="Q16" s="26">
        <f t="shared" si="12"/>
        <v>6.6940100799918995E-2</v>
      </c>
      <c r="R16" s="27">
        <f>IF(Hypothèses!$C$11="OUI",'Tresorerie autoconsomat'!E16*'Tresorerie autoconsomat'!P16,Q16*G16)</f>
        <v>1285.0397422553974</v>
      </c>
      <c r="S16" s="28">
        <f t="shared" si="7"/>
        <v>2895.8117421336801</v>
      </c>
      <c r="U16" s="114"/>
    </row>
    <row r="17" spans="2:21" ht="17.25" customHeight="1" outlineLevel="1">
      <c r="B17" s="35">
        <v>13</v>
      </c>
      <c r="C17" s="18">
        <f t="shared" si="0"/>
        <v>8910</v>
      </c>
      <c r="D17" s="21">
        <f t="shared" si="8"/>
        <v>5.0000000000000001E-3</v>
      </c>
      <c r="E17" s="20">
        <f t="shared" si="9"/>
        <v>8389.8592096070879</v>
      </c>
      <c r="F17" s="20">
        <f t="shared" si="1"/>
        <v>0</v>
      </c>
      <c r="G17" s="20">
        <f>IF(vente="oui",('Tresorerie autoconsomat'!E17-'Tresorerie autoconsomat'!F17),E17)</f>
        <v>8389.8592096070879</v>
      </c>
      <c r="H17" s="22">
        <f t="shared" si="2"/>
        <v>89.312677408176697</v>
      </c>
      <c r="I17" s="22">
        <f t="shared" si="3"/>
        <v>166.84851582745731</v>
      </c>
      <c r="J17" s="22">
        <f>'Calcul intérêts '!$C$12</f>
        <v>0</v>
      </c>
      <c r="K17" s="23">
        <f t="shared" si="4"/>
        <v>256.16119323563402</v>
      </c>
      <c r="L17" s="25">
        <f t="shared" si="5"/>
        <v>0.17109130642154141</v>
      </c>
      <c r="M17" s="24">
        <f t="shared" si="10"/>
        <v>0</v>
      </c>
      <c r="N17" s="24">
        <f t="shared" si="6"/>
        <v>0</v>
      </c>
      <c r="O17" s="29">
        <f>IF(AND(vente="oui",Hypothèses!$C$11="non"),((L17*F17))+(M17+N17),0)</f>
        <v>0</v>
      </c>
      <c r="P17" s="26">
        <f t="shared" si="11"/>
        <v>0.15240000000000001</v>
      </c>
      <c r="Q17" s="26">
        <f t="shared" si="12"/>
        <v>6.7609501807918179E-2</v>
      </c>
      <c r="R17" s="27">
        <f>IF(Hypothèses!$C$11="OUI",'Tresorerie autoconsomat'!E17*'Tresorerie autoconsomat'!P17,Q17*G17)</f>
        <v>1278.6145435441204</v>
      </c>
      <c r="S17" s="28">
        <f t="shared" si="7"/>
        <v>3918.2650924421664</v>
      </c>
      <c r="U17" s="114"/>
    </row>
    <row r="18" spans="2:21" ht="17.25" customHeight="1" outlineLevel="1">
      <c r="B18" s="35">
        <v>14</v>
      </c>
      <c r="C18" s="18">
        <f t="shared" si="0"/>
        <v>8910</v>
      </c>
      <c r="D18" s="21">
        <f t="shared" si="8"/>
        <v>5.0000000000000001E-3</v>
      </c>
      <c r="E18" s="20">
        <f t="shared" si="9"/>
        <v>8347.9099135590532</v>
      </c>
      <c r="F18" s="20">
        <f t="shared" si="1"/>
        <v>0</v>
      </c>
      <c r="G18" s="20">
        <f>IF(vente="oui",('Tresorerie autoconsomat'!E18-'Tresorerie autoconsomat'!F18),E18)</f>
        <v>8347.9099135590532</v>
      </c>
      <c r="H18" s="22">
        <f t="shared" si="2"/>
        <v>90.652367569299344</v>
      </c>
      <c r="I18" s="22">
        <f t="shared" si="3"/>
        <v>169.35124356486915</v>
      </c>
      <c r="J18" s="22">
        <f>'Calcul intérêts '!$C$12</f>
        <v>0</v>
      </c>
      <c r="K18" s="23">
        <f t="shared" si="4"/>
        <v>260.00361113416852</v>
      </c>
      <c r="L18" s="25">
        <f t="shared" si="5"/>
        <v>0.17622404561418764</v>
      </c>
      <c r="M18" s="24">
        <f t="shared" si="10"/>
        <v>0</v>
      </c>
      <c r="N18" s="24">
        <f t="shared" si="6"/>
        <v>0</v>
      </c>
      <c r="O18" s="29">
        <f>IF(AND(vente="oui",Hypothèses!$C$11="non"),((L18*F18))+(M18+N18),0)</f>
        <v>0</v>
      </c>
      <c r="P18" s="26">
        <f t="shared" si="11"/>
        <v>0.15240000000000001</v>
      </c>
      <c r="Q18" s="26">
        <f t="shared" si="12"/>
        <v>6.8285596825997358E-2</v>
      </c>
      <c r="R18" s="27">
        <f>IF(Hypothèses!$C$11="OUI",'Tresorerie autoconsomat'!E18*'Tresorerie autoconsomat'!P18,Q18*G18)</f>
        <v>1272.2214708263998</v>
      </c>
      <c r="S18" s="28">
        <f t="shared" si="7"/>
        <v>4930.4829521343972</v>
      </c>
      <c r="U18" s="114"/>
    </row>
    <row r="19" spans="2:21" ht="17.25" customHeight="1" outlineLevel="1">
      <c r="B19" s="35">
        <v>15</v>
      </c>
      <c r="C19" s="18">
        <f t="shared" si="0"/>
        <v>8910</v>
      </c>
      <c r="D19" s="21">
        <f t="shared" si="8"/>
        <v>5.0000000000000001E-3</v>
      </c>
      <c r="E19" s="20">
        <f t="shared" si="9"/>
        <v>8306.1703639912575</v>
      </c>
      <c r="F19" s="20">
        <f t="shared" si="1"/>
        <v>0</v>
      </c>
      <c r="G19" s="20">
        <f>IF(vente="oui",('Tresorerie autoconsomat'!E19-'Tresorerie autoconsomat'!F19),E19)</f>
        <v>8306.1703639912575</v>
      </c>
      <c r="H19" s="22">
        <f t="shared" si="2"/>
        <v>92.012153082838836</v>
      </c>
      <c r="I19" s="22">
        <f t="shared" si="3"/>
        <v>171.8915122183422</v>
      </c>
      <c r="J19" s="22">
        <f>'Calcul intérêts '!$C$12</f>
        <v>0</v>
      </c>
      <c r="K19" s="23">
        <f t="shared" si="4"/>
        <v>263.90366530118104</v>
      </c>
      <c r="L19" s="25">
        <f t="shared" si="5"/>
        <v>0.18151076698261326</v>
      </c>
      <c r="M19" s="24">
        <f t="shared" si="10"/>
        <v>0</v>
      </c>
      <c r="N19" s="24">
        <f t="shared" si="6"/>
        <v>0</v>
      </c>
      <c r="O19" s="29">
        <f>IF(AND(vente="oui",Hypothèses!$C$11="non"),((L19*F19))+(M19+N19),0)</f>
        <v>0</v>
      </c>
      <c r="P19" s="26">
        <f t="shared" si="11"/>
        <v>0.15240000000000001</v>
      </c>
      <c r="Q19" s="26">
        <f t="shared" si="12"/>
        <v>6.8968452794257326E-2</v>
      </c>
      <c r="R19" s="27">
        <f>IF(Hypothèses!$C$11="OUI",'Tresorerie autoconsomat'!E19*'Tresorerie autoconsomat'!P19,Q19*G19)</f>
        <v>1265.8603634722676</v>
      </c>
      <c r="S19" s="28">
        <f t="shared" si="7"/>
        <v>5932.4396503054841</v>
      </c>
      <c r="U19" s="114"/>
    </row>
    <row r="20" spans="2:21" ht="17.25" customHeight="1" outlineLevel="1">
      <c r="B20" s="35">
        <v>16</v>
      </c>
      <c r="C20" s="18">
        <f t="shared" si="0"/>
        <v>8910</v>
      </c>
      <c r="D20" s="21">
        <f t="shared" si="8"/>
        <v>5.0000000000000001E-3</v>
      </c>
      <c r="E20" s="20">
        <f t="shared" si="9"/>
        <v>8264.6395121713012</v>
      </c>
      <c r="F20" s="20">
        <f t="shared" si="1"/>
        <v>0</v>
      </c>
      <c r="G20" s="20">
        <f>IF(vente="oui",('Tresorerie autoconsomat'!E20-'Tresorerie autoconsomat'!F20),E20)</f>
        <v>8264.6395121713012</v>
      </c>
      <c r="H20" s="22">
        <f t="shared" si="2"/>
        <v>93.392335379081416</v>
      </c>
      <c r="I20" s="22">
        <f t="shared" si="3"/>
        <v>174.46988490161732</v>
      </c>
      <c r="J20" s="22"/>
      <c r="K20" s="23">
        <f t="shared" si="4"/>
        <v>267.86222028069875</v>
      </c>
      <c r="L20" s="25">
        <f t="shared" si="5"/>
        <v>0.18695608999209165</v>
      </c>
      <c r="M20" s="24">
        <f t="shared" si="10"/>
        <v>0</v>
      </c>
      <c r="N20" s="24">
        <f t="shared" si="6"/>
        <v>0</v>
      </c>
      <c r="O20" s="29">
        <f>IF(AND(vente="oui",Hypothèses!$C$11="non"),((L20*F20))+(M20+N20),0)</f>
        <v>0</v>
      </c>
      <c r="P20" s="26">
        <f t="shared" si="11"/>
        <v>0.15240000000000001</v>
      </c>
      <c r="Q20" s="26">
        <f t="shared" si="12"/>
        <v>6.9658137322199901E-2</v>
      </c>
      <c r="R20" s="27">
        <f>IF(Hypothèses!$C$11="OUI",'Tresorerie autoconsomat'!E20*'Tresorerie autoconsomat'!P20,Q20*G20)</f>
        <v>1259.5310616549064</v>
      </c>
      <c r="S20" s="28">
        <f t="shared" si="7"/>
        <v>6924.1084916796908</v>
      </c>
      <c r="U20" s="114"/>
    </row>
    <row r="21" spans="2:21" ht="17.25" customHeight="1" outlineLevel="1">
      <c r="B21" s="35">
        <v>17</v>
      </c>
      <c r="C21" s="18">
        <f t="shared" si="0"/>
        <v>8910</v>
      </c>
      <c r="D21" s="21">
        <f t="shared" si="8"/>
        <v>5.0000000000000001E-3</v>
      </c>
      <c r="E21" s="20">
        <f t="shared" si="9"/>
        <v>8223.3163146104453</v>
      </c>
      <c r="F21" s="20">
        <f t="shared" si="1"/>
        <v>0</v>
      </c>
      <c r="G21" s="20">
        <f>IF(vente="oui",('Tresorerie autoconsomat'!E21-'Tresorerie autoconsomat'!F21),E21)</f>
        <v>8223.3163146104453</v>
      </c>
      <c r="H21" s="22">
        <f t="shared" si="2"/>
        <v>94.793220409767642</v>
      </c>
      <c r="I21" s="22">
        <f t="shared" si="3"/>
        <v>177.08693317514158</v>
      </c>
      <c r="J21" s="22"/>
      <c r="K21" s="23">
        <f t="shared" si="4"/>
        <v>271.88015358490924</v>
      </c>
      <c r="L21" s="25">
        <f t="shared" si="5"/>
        <v>0.1925647726918544</v>
      </c>
      <c r="M21" s="24">
        <f t="shared" si="10"/>
        <v>0</v>
      </c>
      <c r="N21" s="24">
        <f t="shared" si="6"/>
        <v>0</v>
      </c>
      <c r="O21" s="29">
        <f>IF(AND(vente="oui",Hypothèses!$C$11="non"),((L21*F21))+(M21+N21),0)</f>
        <v>0</v>
      </c>
      <c r="P21" s="26">
        <f t="shared" si="11"/>
        <v>0.15240000000000001</v>
      </c>
      <c r="Q21" s="26">
        <f t="shared" si="12"/>
        <v>7.0354718695421897E-2</v>
      </c>
      <c r="R21" s="27">
        <f>IF(Hypothèses!$C$11="OUI",'Tresorerie autoconsomat'!E21*'Tresorerie autoconsomat'!P21,Q21*G21)</f>
        <v>1253.2334063466319</v>
      </c>
      <c r="S21" s="28">
        <f t="shared" si="7"/>
        <v>7905.4617444414143</v>
      </c>
      <c r="U21" s="114"/>
    </row>
    <row r="22" spans="2:21" ht="17.25" customHeight="1" outlineLevel="1">
      <c r="B22" s="35">
        <v>18</v>
      </c>
      <c r="C22" s="18">
        <f t="shared" si="0"/>
        <v>8910</v>
      </c>
      <c r="D22" s="21">
        <f t="shared" si="8"/>
        <v>5.0000000000000001E-3</v>
      </c>
      <c r="E22" s="20">
        <f t="shared" si="9"/>
        <v>8182.1997330373933</v>
      </c>
      <c r="F22" s="20">
        <f t="shared" si="1"/>
        <v>0</v>
      </c>
      <c r="G22" s="20">
        <f>IF(vente="oui",('Tresorerie autoconsomat'!E22-'Tresorerie autoconsomat'!F22),E22)</f>
        <v>8182.1997330373933</v>
      </c>
      <c r="H22" s="22">
        <f t="shared" si="2"/>
        <v>96.215118715914159</v>
      </c>
      <c r="I22" s="22">
        <f t="shared" si="3"/>
        <v>179.74323717276872</v>
      </c>
      <c r="J22" s="22"/>
      <c r="K22" s="23">
        <f t="shared" si="4"/>
        <v>275.95835588868289</v>
      </c>
      <c r="L22" s="25">
        <f t="shared" si="5"/>
        <v>0.19834171587261004</v>
      </c>
      <c r="M22" s="24">
        <f t="shared" si="10"/>
        <v>0</v>
      </c>
      <c r="N22" s="24">
        <f t="shared" si="6"/>
        <v>0</v>
      </c>
      <c r="O22" s="29">
        <f>IF(AND(vente="oui",Hypothèses!$C$11="non"),((L22*F22))+(M22+N22),0)</f>
        <v>0</v>
      </c>
      <c r="P22" s="26">
        <f t="shared" si="11"/>
        <v>0.15240000000000001</v>
      </c>
      <c r="Q22" s="26">
        <f t="shared" si="12"/>
        <v>7.1058265882376112E-2</v>
      </c>
      <c r="R22" s="27">
        <f>IF(Hypothèses!$C$11="OUI",'Tresorerie autoconsomat'!E22*'Tresorerie autoconsomat'!P22,Q22*G22)</f>
        <v>1246.9672393148987</v>
      </c>
      <c r="S22" s="28">
        <f t="shared" si="7"/>
        <v>8876.4706278676313</v>
      </c>
      <c r="U22" s="114"/>
    </row>
    <row r="23" spans="2:21" ht="17.25" customHeight="1" outlineLevel="1">
      <c r="B23" s="35">
        <v>19</v>
      </c>
      <c r="C23" s="18">
        <f t="shared" si="0"/>
        <v>8910</v>
      </c>
      <c r="D23" s="21">
        <f t="shared" si="8"/>
        <v>5.0000000000000001E-3</v>
      </c>
      <c r="E23" s="20">
        <f t="shared" si="9"/>
        <v>8141.2887343722059</v>
      </c>
      <c r="F23" s="20">
        <f t="shared" si="1"/>
        <v>0</v>
      </c>
      <c r="G23" s="20">
        <f>IF(vente="oui",('Tresorerie autoconsomat'!E23-'Tresorerie autoconsomat'!F23),E23)</f>
        <v>8141.2887343722059</v>
      </c>
      <c r="H23" s="22">
        <f t="shared" si="2"/>
        <v>97.658345496652871</v>
      </c>
      <c r="I23" s="22">
        <f t="shared" si="3"/>
        <v>182.43938573036024</v>
      </c>
      <c r="J23" s="22"/>
      <c r="K23" s="23">
        <f t="shared" si="4"/>
        <v>280.09773122701313</v>
      </c>
      <c r="L23" s="25">
        <f t="shared" si="5"/>
        <v>0.20429196734878835</v>
      </c>
      <c r="M23" s="24">
        <f t="shared" si="10"/>
        <v>0</v>
      </c>
      <c r="N23" s="24">
        <f t="shared" si="6"/>
        <v>0</v>
      </c>
      <c r="O23" s="29">
        <f>IF(AND(vente="oui",Hypothèses!$C$11="non"),((L23*F23))+(M23+N23),0)</f>
        <v>0</v>
      </c>
      <c r="P23" s="26">
        <f t="shared" si="11"/>
        <v>0.15240000000000001</v>
      </c>
      <c r="Q23" s="26">
        <f t="shared" si="12"/>
        <v>7.1768848541199873E-2</v>
      </c>
      <c r="R23" s="27">
        <f>IF(Hypothèses!$C$11="OUI",'Tresorerie autoconsomat'!E23*'Tresorerie autoconsomat'!P23,Q23*G23)</f>
        <v>1240.7324031183243</v>
      </c>
      <c r="S23" s="28">
        <f t="shared" si="7"/>
        <v>9837.1052997589413</v>
      </c>
      <c r="U23" s="114"/>
    </row>
    <row r="24" spans="2:21" ht="17.25" customHeight="1" outlineLevel="1" thickBot="1">
      <c r="B24" s="35">
        <v>20</v>
      </c>
      <c r="C24" s="18">
        <f t="shared" si="0"/>
        <v>8910</v>
      </c>
      <c r="D24" s="21">
        <f t="shared" si="8"/>
        <v>5.0000000000000001E-3</v>
      </c>
      <c r="E24" s="20">
        <f t="shared" si="9"/>
        <v>8100.5822907003449</v>
      </c>
      <c r="F24" s="20">
        <f t="shared" si="1"/>
        <v>0</v>
      </c>
      <c r="G24" s="20">
        <f>IF(vente="oui",('Tresorerie autoconsomat'!E24-'Tresorerie autoconsomat'!F24),E24)</f>
        <v>8100.5822907003449</v>
      </c>
      <c r="H24" s="22">
        <f t="shared" si="2"/>
        <v>99.123220679102658</v>
      </c>
      <c r="I24" s="22">
        <f t="shared" si="3"/>
        <v>185.17597651631564</v>
      </c>
      <c r="J24" s="22"/>
      <c r="K24" s="23">
        <f t="shared" si="4"/>
        <v>284.29919719541829</v>
      </c>
      <c r="L24" s="25">
        <f t="shared" si="5"/>
        <v>0.21042072636925199</v>
      </c>
      <c r="M24" s="24">
        <f t="shared" si="10"/>
        <v>0</v>
      </c>
      <c r="N24" s="24">
        <f t="shared" si="6"/>
        <v>0</v>
      </c>
      <c r="O24" s="29">
        <f>IF(AND(vente="oui",Hypothèses!$C$11="non"),((L24*F24))+(M24+N24),0)</f>
        <v>0</v>
      </c>
      <c r="P24" s="26">
        <f t="shared" si="11"/>
        <v>0.15240000000000001</v>
      </c>
      <c r="Q24" s="26">
        <f>Q23*1.01</f>
        <v>7.2486537026611869E-2</v>
      </c>
      <c r="R24" s="27">
        <f>IF(Hypothèses!$C$11="OUI",'Tresorerie autoconsomat'!E24*'Tresorerie autoconsomat'!P24,Q24*G24)</f>
        <v>1234.5287411027325</v>
      </c>
      <c r="S24" s="28">
        <f t="shared" si="7"/>
        <v>10787.334843666256</v>
      </c>
      <c r="U24" s="114"/>
    </row>
    <row r="25" spans="2:21" s="17" customFormat="1" ht="27" customHeight="1" thickBot="1">
      <c r="B25" s="37" t="s">
        <v>38</v>
      </c>
      <c r="C25" s="15"/>
      <c r="D25" s="16"/>
      <c r="E25" s="39">
        <f t="shared" ref="E25:K25" si="13">SUM(E5:E24)</f>
        <v>169984.1241506314</v>
      </c>
      <c r="F25" s="39">
        <f t="shared" si="13"/>
        <v>0</v>
      </c>
      <c r="G25" s="40">
        <f t="shared" si="13"/>
        <v>169984.1241506314</v>
      </c>
      <c r="H25" s="41">
        <f t="shared" si="13"/>
        <v>1727.3379326192789</v>
      </c>
      <c r="I25" s="41">
        <f t="shared" si="13"/>
        <v>3226.9077442706885</v>
      </c>
      <c r="J25" s="42">
        <f t="shared" si="13"/>
        <v>0</v>
      </c>
      <c r="K25" s="42">
        <f t="shared" si="13"/>
        <v>4954.2456768899674</v>
      </c>
      <c r="L25" s="43">
        <f>(SUM(L5:L24))/30</f>
        <v>0.1074814979559218</v>
      </c>
      <c r="M25" s="42">
        <f>SUM(M5:M24)</f>
        <v>0</v>
      </c>
      <c r="N25" s="42">
        <f>SUM(N5:N24)</f>
        <v>0</v>
      </c>
      <c r="O25" s="42">
        <f>SUM(O5:O24)</f>
        <v>0</v>
      </c>
      <c r="P25" s="43">
        <f>SUM(P5:P24)/20</f>
        <v>0.15240000000000004</v>
      </c>
      <c r="Q25" s="43">
        <f>SUM(Q5:Q24)/20</f>
        <v>6.6057011984390041E-2</v>
      </c>
      <c r="R25" s="42">
        <f>SUM(R5:R24)</f>
        <v>25905.580520556221</v>
      </c>
      <c r="S25" s="42">
        <f>S24</f>
        <v>10787.334843666256</v>
      </c>
    </row>
    <row r="26" spans="2:21">
      <c r="E26" s="38" t="s">
        <v>30</v>
      </c>
      <c r="F26" s="38" t="s">
        <v>30</v>
      </c>
      <c r="G26" s="38" t="s">
        <v>30</v>
      </c>
      <c r="S26" s="7"/>
    </row>
    <row r="27" spans="2:21">
      <c r="S27" s="7"/>
    </row>
    <row r="28" spans="2:21">
      <c r="S28" s="7"/>
    </row>
  </sheetData>
  <phoneticPr fontId="1" type="noConversion"/>
  <conditionalFormatting sqref="K5:K24 R5:R24">
    <cfRule type="cellIs" dxfId="15" priority="15" stopIfTrue="1" operator="greaterThan">
      <formula>1</formula>
    </cfRule>
  </conditionalFormatting>
  <conditionalFormatting sqref="O5:O24">
    <cfRule type="cellIs" dxfId="14" priority="17" stopIfTrue="1" operator="greaterThan">
      <formula>1</formula>
    </cfRule>
    <cfRule type="cellIs" dxfId="13" priority="18" stopIfTrue="1" operator="lessThan">
      <formula>1</formula>
    </cfRule>
  </conditionalFormatting>
  <conditionalFormatting sqref="O5:O24">
    <cfRule type="cellIs" dxfId="12" priority="14" operator="lessThan">
      <formula>0</formula>
    </cfRule>
  </conditionalFormatting>
  <conditionalFormatting sqref="O5:O24">
    <cfRule type="cellIs" dxfId="11" priority="13" operator="greaterThan">
      <formula>0</formula>
    </cfRule>
  </conditionalFormatting>
  <conditionalFormatting sqref="S5:S24">
    <cfRule type="cellIs" dxfId="10" priority="10" operator="lessThan">
      <formula>0</formula>
    </cfRule>
    <cfRule type="cellIs" dxfId="9" priority="11" operator="greaterThan">
      <formula>0</formula>
    </cfRule>
  </conditionalFormatting>
  <conditionalFormatting sqref="O5:O24">
    <cfRule type="cellIs" dxfId="8" priority="9" operator="greaterThan">
      <formula>0</formula>
    </cfRule>
  </conditionalFormatting>
  <conditionalFormatting sqref="O5:O24">
    <cfRule type="cellIs" dxfId="7" priority="8" operator="lessThan">
      <formula>0</formula>
    </cfRule>
  </conditionalFormatting>
  <conditionalFormatting sqref="S5:S24">
    <cfRule type="cellIs" dxfId="6" priority="5" operator="greaterThan">
      <formula>0</formula>
    </cfRule>
    <cfRule type="cellIs" dxfId="5" priority="6" operator="lessThan">
      <formula>0</formula>
    </cfRule>
    <cfRule type="cellIs" dxfId="4" priority="7" operator="greaterThan">
      <formula>0</formula>
    </cfRule>
  </conditionalFormatting>
  <conditionalFormatting sqref="R5:R24">
    <cfRule type="cellIs" dxfId="3" priority="2" operator="equal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O5:O2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2:G12"/>
  <sheetViews>
    <sheetView workbookViewId="0">
      <selection activeCell="D21" sqref="D21"/>
    </sheetView>
  </sheetViews>
  <sheetFormatPr baseColWidth="10" defaultRowHeight="15"/>
  <cols>
    <col min="2" max="2" width="30" customWidth="1"/>
    <col min="3" max="3" width="24" customWidth="1"/>
  </cols>
  <sheetData>
    <row r="2" spans="2:7">
      <c r="B2" t="s">
        <v>0</v>
      </c>
      <c r="C2" s="1">
        <f>Hypothèses!F10*(1-Hypothèses!C17)</f>
        <v>0</v>
      </c>
      <c r="F2" s="1"/>
      <c r="G2" s="1"/>
    </row>
    <row r="3" spans="2:7">
      <c r="B3" t="s">
        <v>1</v>
      </c>
      <c r="C3" s="2">
        <f>interet</f>
        <v>0.01</v>
      </c>
      <c r="F3" s="1"/>
      <c r="G3" s="1"/>
    </row>
    <row r="4" spans="2:7">
      <c r="B4" t="s">
        <v>2</v>
      </c>
      <c r="C4" s="1">
        <f>dureepret*12</f>
        <v>120</v>
      </c>
      <c r="F4" s="1"/>
      <c r="G4" s="1"/>
    </row>
    <row r="5" spans="2:7">
      <c r="B5" t="s">
        <v>3</v>
      </c>
      <c r="C5" s="1">
        <f>(C2*Taux/12*(1+Taux/12)^C4)/(((1+Taux/12)^C4)-1)</f>
        <v>0</v>
      </c>
      <c r="F5" s="1"/>
      <c r="G5" s="1"/>
    </row>
    <row r="6" spans="2:7">
      <c r="B6" t="s">
        <v>4</v>
      </c>
      <c r="C6" s="3">
        <v>0</v>
      </c>
      <c r="F6" s="1"/>
      <c r="G6" s="1"/>
    </row>
    <row r="7" spans="2:7">
      <c r="B7" t="s">
        <v>5</v>
      </c>
      <c r="C7" s="1">
        <f>C2*C6/12</f>
        <v>0</v>
      </c>
      <c r="F7" s="1"/>
      <c r="G7" s="1"/>
    </row>
    <row r="8" spans="2:7">
      <c r="B8" t="s">
        <v>6</v>
      </c>
      <c r="C8" s="1">
        <f>C5+C7</f>
        <v>0</v>
      </c>
      <c r="F8" s="1"/>
      <c r="G8" s="1"/>
    </row>
    <row r="9" spans="2:7">
      <c r="B9" s="4" t="s">
        <v>7</v>
      </c>
      <c r="C9" s="1">
        <v>0</v>
      </c>
      <c r="D9" s="1"/>
      <c r="E9" s="1"/>
      <c r="F9" s="1"/>
      <c r="G9" s="1"/>
    </row>
    <row r="10" spans="2:7">
      <c r="B10" s="4" t="s">
        <v>8</v>
      </c>
      <c r="C10" s="1">
        <f>((C8*C4)+C9)-C2</f>
        <v>0</v>
      </c>
      <c r="D10" s="1"/>
      <c r="E10" s="1"/>
      <c r="F10" s="1"/>
      <c r="G10" s="1"/>
    </row>
    <row r="11" spans="2:7">
      <c r="B11" t="s">
        <v>18</v>
      </c>
      <c r="C11" s="1">
        <f>C2+C10</f>
        <v>0</v>
      </c>
    </row>
    <row r="12" spans="2:7">
      <c r="B12" t="s">
        <v>42</v>
      </c>
      <c r="C12" s="99">
        <f>C5*12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32"/>
  <sheetViews>
    <sheetView workbookViewId="0">
      <selection activeCell="B4" sqref="B4"/>
    </sheetView>
  </sheetViews>
  <sheetFormatPr baseColWidth="10" defaultRowHeight="15"/>
  <cols>
    <col min="2" max="2" width="19.42578125" customWidth="1"/>
  </cols>
  <sheetData>
    <row r="3" spans="1:2">
      <c r="A3">
        <v>1</v>
      </c>
      <c r="B3">
        <f>POWER(1+Hypothèses!$C$25,-A3)</f>
        <v>0.98039215686274506</v>
      </c>
    </row>
    <row r="4" spans="1:2">
      <c r="A4">
        <v>2</v>
      </c>
      <c r="B4">
        <f>POWER(1+Hypothèses!$C$25,-A4)</f>
        <v>0.96116878123798544</v>
      </c>
    </row>
    <row r="5" spans="1:2">
      <c r="A5">
        <v>3</v>
      </c>
      <c r="B5">
        <f>POWER(1+Hypothèses!$C$25,-A5)</f>
        <v>0.94232233454704462</v>
      </c>
    </row>
    <row r="6" spans="1:2">
      <c r="A6">
        <v>4</v>
      </c>
      <c r="B6">
        <f>POWER(1+Hypothèses!$C$25,-A6)</f>
        <v>0.9238454260265142</v>
      </c>
    </row>
    <row r="7" spans="1:2">
      <c r="A7">
        <v>5</v>
      </c>
      <c r="B7">
        <f>POWER(1+Hypothèses!$C$25,-A7)</f>
        <v>0.90573080982991594</v>
      </c>
    </row>
    <row r="8" spans="1:2">
      <c r="A8">
        <v>6</v>
      </c>
      <c r="B8">
        <f>POWER(1+Hypothèses!$C$25,-A8)</f>
        <v>0.88797138218619198</v>
      </c>
    </row>
    <row r="9" spans="1:2">
      <c r="A9">
        <v>7</v>
      </c>
      <c r="B9">
        <f>POWER(1+Hypothèses!$C$25,-A9)</f>
        <v>0.87056017861391388</v>
      </c>
    </row>
    <row r="10" spans="1:2">
      <c r="A10">
        <v>8</v>
      </c>
      <c r="B10">
        <f>POWER(1+Hypothèses!$C$25,-A10)</f>
        <v>0.85349037119011162</v>
      </c>
    </row>
    <row r="11" spans="1:2">
      <c r="A11">
        <v>9</v>
      </c>
      <c r="B11">
        <f>POWER(1+Hypothèses!$C$25,-A11)</f>
        <v>0.83675526587265847</v>
      </c>
    </row>
    <row r="12" spans="1:2">
      <c r="A12">
        <v>10</v>
      </c>
      <c r="B12">
        <f>POWER(1+Hypothèses!$C$25,-A12)</f>
        <v>0.82034829987515534</v>
      </c>
    </row>
    <row r="13" spans="1:2">
      <c r="A13">
        <v>11</v>
      </c>
      <c r="B13">
        <f>POWER(1+Hypothèses!$C$25,-A13)</f>
        <v>0.80426303909328967</v>
      </c>
    </row>
    <row r="14" spans="1:2">
      <c r="A14">
        <v>12</v>
      </c>
      <c r="B14">
        <f>POWER(1+Hypothèses!$C$25,-A14)</f>
        <v>0.78849317558165644</v>
      </c>
    </row>
    <row r="15" spans="1:2">
      <c r="A15">
        <v>13</v>
      </c>
      <c r="B15">
        <f>POWER(1+Hypothèses!$C$25,-A15)</f>
        <v>0.77303252508005538</v>
      </c>
    </row>
    <row r="16" spans="1:2">
      <c r="A16">
        <v>14</v>
      </c>
      <c r="B16">
        <f>POWER(1+Hypothèses!$C$25,-A16)</f>
        <v>0.75787502458828948</v>
      </c>
    </row>
    <row r="17" spans="1:2">
      <c r="A17">
        <v>15</v>
      </c>
      <c r="B17">
        <f>POWER(1+Hypothèses!$C$25,-A17)</f>
        <v>0.74301472998851925</v>
      </c>
    </row>
    <row r="18" spans="1:2">
      <c r="A18">
        <v>16</v>
      </c>
      <c r="B18">
        <f>POWER(1+Hypothèses!$C$25,-A18)</f>
        <v>0.72844581371423445</v>
      </c>
    </row>
    <row r="19" spans="1:2">
      <c r="A19">
        <v>17</v>
      </c>
      <c r="B19">
        <f>POWER(1+Hypothèses!$C$25,-A19)</f>
        <v>0.7141625624649357</v>
      </c>
    </row>
    <row r="20" spans="1:2">
      <c r="A20">
        <v>18</v>
      </c>
      <c r="B20">
        <f>POWER(1+Hypothèses!$C$25,-A20)</f>
        <v>0.7001593749656233</v>
      </c>
    </row>
    <row r="21" spans="1:2">
      <c r="A21">
        <v>19</v>
      </c>
      <c r="B21">
        <f>POWER(1+Hypothèses!$C$25,-A21)</f>
        <v>0.68643075977021895</v>
      </c>
    </row>
    <row r="22" spans="1:2">
      <c r="A22">
        <v>20</v>
      </c>
      <c r="B22">
        <f>POWER(1+Hypothèses!$C$25,-A22)</f>
        <v>0.67297133310805779</v>
      </c>
    </row>
    <row r="23" spans="1:2">
      <c r="A23">
        <v>21</v>
      </c>
      <c r="B23">
        <f>POWER(1+Hypothèses!$C$25,-A23)</f>
        <v>0.65977581677260566</v>
      </c>
    </row>
    <row r="24" spans="1:2">
      <c r="A24">
        <v>22</v>
      </c>
      <c r="B24">
        <f>POWER(1+Hypothèses!$C$25,-A24)</f>
        <v>0.64683903605157411</v>
      </c>
    </row>
    <row r="25" spans="1:2">
      <c r="A25">
        <v>23</v>
      </c>
      <c r="B25">
        <f>POWER(1+Hypothèses!$C$25,-A25)</f>
        <v>0.63415591769762181</v>
      </c>
    </row>
    <row r="26" spans="1:2">
      <c r="A26">
        <v>24</v>
      </c>
      <c r="B26">
        <f>POWER(1+Hypothèses!$C$25,-A26)</f>
        <v>0.62172148793884485</v>
      </c>
    </row>
    <row r="27" spans="1:2">
      <c r="A27">
        <v>25</v>
      </c>
      <c r="B27">
        <f>POWER(1+Hypothèses!$C$25,-A27)</f>
        <v>0.60953087052827937</v>
      </c>
    </row>
    <row r="28" spans="1:2">
      <c r="A28">
        <v>26</v>
      </c>
      <c r="B28">
        <f>POWER(1+Hypothèses!$C$25,-A28)</f>
        <v>0.59757928483164635</v>
      </c>
    </row>
    <row r="29" spans="1:2">
      <c r="A29">
        <v>27</v>
      </c>
      <c r="B29">
        <f>POWER(1+Hypothèses!$C$25,-A29)</f>
        <v>0.58586204395259456</v>
      </c>
    </row>
    <row r="30" spans="1:2">
      <c r="A30">
        <v>28</v>
      </c>
      <c r="B30">
        <f>POWER(1+Hypothèses!$C$25,-A30)</f>
        <v>0.57437455289470041</v>
      </c>
    </row>
    <row r="31" spans="1:2">
      <c r="A31">
        <v>29</v>
      </c>
      <c r="B31">
        <f>POWER(1+Hypothèses!$C$25,-A31)</f>
        <v>0.56311230675951029</v>
      </c>
    </row>
    <row r="32" spans="1:2">
      <c r="A32">
        <v>30</v>
      </c>
      <c r="B32">
        <f>POWER(1+Hypothèses!$C$25,-A32)</f>
        <v>0.55207088897991197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48</vt:i4>
      </vt:variant>
    </vt:vector>
  </HeadingPairs>
  <TitlesOfParts>
    <vt:vector size="52" baseType="lpstr">
      <vt:lpstr>Hypothèses</vt:lpstr>
      <vt:lpstr>Tresorerie autoconsomat</vt:lpstr>
      <vt:lpstr>Calcul intérêts </vt:lpstr>
      <vt:lpstr>Actualisation</vt:lpstr>
      <vt:lpstr>assurances</vt:lpstr>
      <vt:lpstr>autoconso</vt:lpstr>
      <vt:lpstr>autofinacement</vt:lpstr>
      <vt:lpstr>coutderevientkwh</vt:lpstr>
      <vt:lpstr>coutderevientkwhreseau30ans</vt:lpstr>
      <vt:lpstr>coutganratieonduleur</vt:lpstr>
      <vt:lpstr>coutinstallation</vt:lpstr>
      <vt:lpstr>coutkwc</vt:lpstr>
      <vt:lpstr>coutraccordement</vt:lpstr>
      <vt:lpstr>couttotal</vt:lpstr>
      <vt:lpstr>couttotalkwhautoconsomme</vt:lpstr>
      <vt:lpstr>dureepret</vt:lpstr>
      <vt:lpstr>economieCSPE</vt:lpstr>
      <vt:lpstr>economieTCFE</vt:lpstr>
      <vt:lpstr>fluxdetresorerie</vt:lpstr>
      <vt:lpstr>garantieonduleur</vt:lpstr>
      <vt:lpstr>inflation</vt:lpstr>
      <vt:lpstr>inflationelec</vt:lpstr>
      <vt:lpstr>interet</vt:lpstr>
      <vt:lpstr>kwhreseau</vt:lpstr>
      <vt:lpstr>locationcompteur</vt:lpstr>
      <vt:lpstr>maintenance</vt:lpstr>
      <vt:lpstr>mensualité</vt:lpstr>
      <vt:lpstr>montantassurance</vt:lpstr>
      <vt:lpstr>montantassurance30ans</vt:lpstr>
      <vt:lpstr>montantinteret</vt:lpstr>
      <vt:lpstr>montantmaintenance</vt:lpstr>
      <vt:lpstr>montantsubventiongenerateur</vt:lpstr>
      <vt:lpstr>production</vt:lpstr>
      <vt:lpstr>productionautoconsomme</vt:lpstr>
      <vt:lpstr>productionvalorisable</vt:lpstr>
      <vt:lpstr>productionvendue</vt:lpstr>
      <vt:lpstr>Puissance</vt:lpstr>
      <vt:lpstr>recetteventesurplus</vt:lpstr>
      <vt:lpstr>stockage</vt:lpstr>
      <vt:lpstr>tarifachat</vt:lpstr>
      <vt:lpstr>Taux</vt:lpstr>
      <vt:lpstr>totalannualités</vt:lpstr>
      <vt:lpstr>totalassurance</vt:lpstr>
      <vt:lpstr>totalfluxdetresorerie</vt:lpstr>
      <vt:lpstr>totalfrais</vt:lpstr>
      <vt:lpstr>totalinvestissementavecsub</vt:lpstr>
      <vt:lpstr>totalmaintenance</vt:lpstr>
      <vt:lpstr>totalproduction</vt:lpstr>
      <vt:lpstr>totalproductionautoconsomme</vt:lpstr>
      <vt:lpstr>totalproductionvendue</vt:lpstr>
      <vt:lpstr>totalventesurplus</vt:lpstr>
      <vt:lpstr>vente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2019-07-09T09:42:09Z</dcterms:created>
  <dcterms:modified xsi:type="dcterms:W3CDTF">2021-03-09T07:21:06Z</dcterms:modified>
</cp:coreProperties>
</file>